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DF Cemiterio\"/>
    </mc:Choice>
  </mc:AlternateContent>
  <xr:revisionPtr revIDLastSave="0" documentId="13_ncr:1_{7351215F-46DC-43B4-B362-2445A41071A1}" xr6:coauthVersionLast="47" xr6:coauthVersionMax="47" xr10:uidLastSave="{00000000-0000-0000-0000-000000000000}"/>
  <bookViews>
    <workbookView xWindow="-120" yWindow="-120" windowWidth="29040" windowHeight="15720" tabRatio="847" firstSheet="3" activeTab="11" xr2:uid="{00000000-000D-0000-FFFF-FFFF00000000}"/>
  </bookViews>
  <sheets>
    <sheet name="Massa Nominal Aço" sheetId="11" r:id="rId1"/>
    <sheet name="Base para cálculo Estaca" sheetId="12" r:id="rId2"/>
    <sheet name="Base para cálculo Baldrame" sheetId="13" r:id="rId3"/>
    <sheet name="Base para cálculo Lajes" sheetId="8" r:id="rId4"/>
    <sheet name="Base para cálculo Gaveta" sheetId="14" r:id="rId5"/>
    <sheet name="Base para cálculo Hidraúlica" sheetId="15" r:id="rId6"/>
    <sheet name="Base - Cx Necro" sheetId="10" r:id="rId7"/>
    <sheet name="Memória de Cálculo" sheetId="2" r:id="rId8"/>
    <sheet name="BDI" sheetId="3" r:id="rId9"/>
    <sheet name="Tabela com Desoneração" sheetId="4" r:id="rId10"/>
    <sheet name="Tabela sem Desoneração" sheetId="5" r:id="rId11"/>
    <sheet name="Cronograma Físico-Financeiro" sheetId="6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5" l="1"/>
  <c r="H22" i="5" s="1"/>
  <c r="F21" i="5"/>
  <c r="H21" i="5" s="1"/>
  <c r="F20" i="5"/>
  <c r="H20" i="5" s="1"/>
  <c r="F19" i="5"/>
  <c r="H19" i="5" s="1"/>
  <c r="U4" i="14"/>
  <c r="U5" i="14"/>
  <c r="U6" i="14"/>
  <c r="U7" i="14"/>
  <c r="U3" i="14"/>
  <c r="R4" i="14"/>
  <c r="R5" i="14"/>
  <c r="R6" i="14"/>
  <c r="R7" i="14"/>
  <c r="R3" i="14"/>
  <c r="T3" i="14"/>
  <c r="G12" i="14" l="1"/>
  <c r="G11" i="14"/>
  <c r="G13" i="14" s="1"/>
  <c r="F65" i="2" s="1"/>
  <c r="T4" i="14"/>
  <c r="T5" i="14"/>
  <c r="T6" i="14"/>
  <c r="T7" i="14"/>
  <c r="Q4" i="14"/>
  <c r="Q5" i="14"/>
  <c r="Q6" i="14"/>
  <c r="Q7" i="14"/>
  <c r="Q3" i="14"/>
  <c r="O4" i="14"/>
  <c r="O5" i="14"/>
  <c r="P5" i="14" s="1"/>
  <c r="O6" i="14"/>
  <c r="P6" i="14" s="1"/>
  <c r="O7" i="14"/>
  <c r="P7" i="14" s="1"/>
  <c r="O3" i="14"/>
  <c r="P3" i="14" s="1"/>
  <c r="L5" i="14"/>
  <c r="L7" i="14"/>
  <c r="L6" i="14"/>
  <c r="L4" i="14"/>
  <c r="L3" i="14"/>
  <c r="F71" i="2"/>
  <c r="F13" i="8"/>
  <c r="F12" i="8"/>
  <c r="F11" i="8"/>
  <c r="L4" i="8"/>
  <c r="L5" i="8"/>
  <c r="L6" i="8"/>
  <c r="L7" i="8"/>
  <c r="L3" i="8"/>
  <c r="F77" i="2"/>
  <c r="E13" i="8"/>
  <c r="E12" i="8"/>
  <c r="E11" i="8"/>
  <c r="H4" i="8"/>
  <c r="H5" i="8"/>
  <c r="H6" i="8"/>
  <c r="H7" i="8"/>
  <c r="H3" i="8"/>
  <c r="K4" i="14"/>
  <c r="K5" i="14"/>
  <c r="K6" i="14"/>
  <c r="E12" i="14" s="1"/>
  <c r="K7" i="14"/>
  <c r="K3" i="14"/>
  <c r="E11" i="14" s="1"/>
  <c r="F102" i="2"/>
  <c r="F89" i="2"/>
  <c r="F86" i="2"/>
  <c r="F83" i="2"/>
  <c r="F40" i="2"/>
  <c r="F36" i="2"/>
  <c r="I13" i="13"/>
  <c r="I12" i="13"/>
  <c r="I11" i="13"/>
  <c r="I4" i="13"/>
  <c r="I5" i="13"/>
  <c r="I6" i="13"/>
  <c r="I7" i="13"/>
  <c r="I3" i="13"/>
  <c r="F33" i="2"/>
  <c r="F30" i="2"/>
  <c r="F27" i="2"/>
  <c r="D3" i="12"/>
  <c r="E3" i="12" s="1"/>
  <c r="D4" i="12"/>
  <c r="E4" i="12"/>
  <c r="D5" i="12"/>
  <c r="E5" i="12" s="1"/>
  <c r="F12" i="12" s="1"/>
  <c r="G12" i="12" s="1"/>
  <c r="H12" i="12" s="1"/>
  <c r="D6" i="12"/>
  <c r="D7" i="12"/>
  <c r="F20" i="2"/>
  <c r="C14" i="15"/>
  <c r="D14" i="15"/>
  <c r="E14" i="15"/>
  <c r="B14" i="15"/>
  <c r="E13" i="15"/>
  <c r="E12" i="15"/>
  <c r="D13" i="15"/>
  <c r="D12" i="15"/>
  <c r="C13" i="15"/>
  <c r="C12" i="15"/>
  <c r="B13" i="15"/>
  <c r="B12" i="15"/>
  <c r="I4" i="15"/>
  <c r="I5" i="15"/>
  <c r="I6" i="15"/>
  <c r="I7" i="15"/>
  <c r="I8" i="15"/>
  <c r="I3" i="15"/>
  <c r="H4" i="15"/>
  <c r="H5" i="15"/>
  <c r="H6" i="15"/>
  <c r="H7" i="15"/>
  <c r="H8" i="15"/>
  <c r="H3" i="15"/>
  <c r="G4" i="15"/>
  <c r="G5" i="15"/>
  <c r="G6" i="15"/>
  <c r="G7" i="15"/>
  <c r="G8" i="15"/>
  <c r="G3" i="15"/>
  <c r="J6" i="14"/>
  <c r="I4" i="14"/>
  <c r="J4" i="14" s="1"/>
  <c r="I5" i="14"/>
  <c r="J5" i="14" s="1"/>
  <c r="C12" i="14" s="1"/>
  <c r="D12" i="14" s="1"/>
  <c r="I6" i="14"/>
  <c r="I7" i="14"/>
  <c r="J7" i="14" s="1"/>
  <c r="I3" i="14"/>
  <c r="J3" i="14" s="1"/>
  <c r="C11" i="14" s="1"/>
  <c r="G4" i="14"/>
  <c r="G5" i="14"/>
  <c r="G6" i="14"/>
  <c r="B12" i="14" s="1"/>
  <c r="G7" i="14"/>
  <c r="G3" i="14"/>
  <c r="B11" i="14" s="1"/>
  <c r="B13" i="14" s="1"/>
  <c r="F59" i="2" s="1"/>
  <c r="B12" i="8"/>
  <c r="G4" i="8"/>
  <c r="B11" i="8" s="1"/>
  <c r="B13" i="8" s="1"/>
  <c r="G5" i="8"/>
  <c r="G6" i="8"/>
  <c r="G7" i="8"/>
  <c r="G3" i="8"/>
  <c r="E6" i="12"/>
  <c r="E7" i="12"/>
  <c r="H13" i="13"/>
  <c r="H12" i="13"/>
  <c r="H11" i="13"/>
  <c r="H4" i="13"/>
  <c r="H5" i="13"/>
  <c r="H6" i="13"/>
  <c r="H7" i="13"/>
  <c r="H3" i="13"/>
  <c r="G12" i="13"/>
  <c r="E4" i="13"/>
  <c r="E3" i="13"/>
  <c r="B12" i="12"/>
  <c r="D12" i="12" s="1"/>
  <c r="E12" i="12" s="1"/>
  <c r="C11" i="12"/>
  <c r="B11" i="12"/>
  <c r="D11" i="12" s="1"/>
  <c r="F13" i="2"/>
  <c r="E13" i="14" l="1"/>
  <c r="C13" i="14"/>
  <c r="D11" i="14"/>
  <c r="D13" i="14" s="1"/>
  <c r="F62" i="2" s="1"/>
  <c r="P4" i="14"/>
  <c r="F11" i="14" s="1"/>
  <c r="F12" i="14"/>
  <c r="F11" i="12"/>
  <c r="F13" i="12"/>
  <c r="G11" i="12"/>
  <c r="G11" i="13"/>
  <c r="G13" i="13" s="1"/>
  <c r="D13" i="12"/>
  <c r="E11" i="12"/>
  <c r="E13" i="12" s="1"/>
  <c r="C12" i="12"/>
  <c r="C13" i="12" s="1"/>
  <c r="F17" i="2" s="1"/>
  <c r="B13" i="12"/>
  <c r="D4" i="13"/>
  <c r="G4" i="13" s="1"/>
  <c r="D3" i="13"/>
  <c r="E7" i="13"/>
  <c r="D7" i="13"/>
  <c r="D6" i="13"/>
  <c r="E6" i="13"/>
  <c r="E5" i="13"/>
  <c r="D5" i="13"/>
  <c r="F4" i="8"/>
  <c r="F5" i="8"/>
  <c r="F6" i="8"/>
  <c r="F7" i="8"/>
  <c r="F3" i="8"/>
  <c r="C11" i="8" s="1"/>
  <c r="J4" i="8"/>
  <c r="J5" i="8"/>
  <c r="J6" i="8"/>
  <c r="J7" i="8"/>
  <c r="J3" i="8"/>
  <c r="I4" i="8"/>
  <c r="I5" i="8"/>
  <c r="I6" i="8"/>
  <c r="I7" i="8"/>
  <c r="I3" i="8"/>
  <c r="K3" i="8" s="1"/>
  <c r="C11" i="3"/>
  <c r="H52" i="5" s="1"/>
  <c r="C12" i="3"/>
  <c r="F13" i="14" l="1"/>
  <c r="F80" i="2" s="1"/>
  <c r="F96" i="2"/>
  <c r="F93" i="2"/>
  <c r="F99" i="2"/>
  <c r="K7" i="8"/>
  <c r="C12" i="8"/>
  <c r="C13" i="8" s="1"/>
  <c r="F68" i="2" s="1"/>
  <c r="F36" i="5" s="1"/>
  <c r="K6" i="8"/>
  <c r="K5" i="8"/>
  <c r="D12" i="8" s="1"/>
  <c r="K4" i="8"/>
  <c r="D11" i="8" s="1"/>
  <c r="D13" i="8" s="1"/>
  <c r="F74" i="2" s="1"/>
  <c r="H11" i="12"/>
  <c r="H13" i="12" s="1"/>
  <c r="F23" i="2" s="1"/>
  <c r="G13" i="12"/>
  <c r="G3" i="13"/>
  <c r="B11" i="13"/>
  <c r="F11" i="13"/>
  <c r="D11" i="13"/>
  <c r="F12" i="13"/>
  <c r="B12" i="13"/>
  <c r="C12" i="13" s="1"/>
  <c r="D12" i="13"/>
  <c r="E12" i="13" s="1"/>
  <c r="G7" i="13"/>
  <c r="G6" i="13"/>
  <c r="G5" i="13"/>
  <c r="F35" i="5"/>
  <c r="F8" i="10"/>
  <c r="F55" i="2" s="1"/>
  <c r="E8" i="10"/>
  <c r="F52" i="2" s="1"/>
  <c r="D8" i="10"/>
  <c r="F49" i="2" s="1"/>
  <c r="C8" i="10"/>
  <c r="F46" i="2" s="1"/>
  <c r="B8" i="10"/>
  <c r="F43" i="2" s="1"/>
  <c r="A8" i="10"/>
  <c r="F37" i="5"/>
  <c r="F42" i="5"/>
  <c r="H42" i="5" s="1"/>
  <c r="F43" i="5"/>
  <c r="F33" i="5"/>
  <c r="F39" i="5"/>
  <c r="H52" i="4"/>
  <c r="E11" i="13" l="1"/>
  <c r="E13" i="13" s="1"/>
  <c r="D13" i="13"/>
  <c r="F13" i="13"/>
  <c r="B13" i="13"/>
  <c r="C11" i="13"/>
  <c r="C13" i="13" s="1"/>
  <c r="F41" i="5"/>
  <c r="F40" i="5"/>
  <c r="F34" i="5"/>
  <c r="F38" i="5"/>
  <c r="F30" i="5"/>
  <c r="H30" i="5" s="1"/>
  <c r="F29" i="5"/>
  <c r="H29" i="5" s="1"/>
  <c r="F46" i="4" l="1"/>
  <c r="F46" i="5"/>
  <c r="F29" i="4"/>
  <c r="H29" i="4" s="1"/>
  <c r="F30" i="4"/>
  <c r="H30" i="4" s="1"/>
  <c r="F35" i="4"/>
  <c r="H35" i="4" s="1"/>
  <c r="F16" i="4"/>
  <c r="H16" i="4" s="1"/>
  <c r="F15" i="5"/>
  <c r="H15" i="5" s="1"/>
  <c r="F14" i="4"/>
  <c r="H14" i="4" s="1"/>
  <c r="F34" i="4"/>
  <c r="H34" i="4" s="1"/>
  <c r="F38" i="4"/>
  <c r="H38" i="4" s="1"/>
  <c r="F37" i="4"/>
  <c r="H37" i="4" s="1"/>
  <c r="F39" i="4"/>
  <c r="H39" i="4" s="1"/>
  <c r="H36" i="5"/>
  <c r="H33" i="5"/>
  <c r="F40" i="4"/>
  <c r="H40" i="4" s="1"/>
  <c r="F47" i="4"/>
  <c r="H47" i="4" s="1"/>
  <c r="F48" i="5"/>
  <c r="H48" i="5" s="1"/>
  <c r="F43" i="4"/>
  <c r="H43" i="4" s="1"/>
  <c r="H41" i="5"/>
  <c r="F41" i="4"/>
  <c r="H41" i="4" s="1"/>
  <c r="F28" i="5"/>
  <c r="H28" i="5" s="1"/>
  <c r="F27" i="5"/>
  <c r="H27" i="5" s="1"/>
  <c r="F26" i="5"/>
  <c r="H26" i="5" s="1"/>
  <c r="F25" i="4"/>
  <c r="H25" i="4" s="1"/>
  <c r="F49" i="5"/>
  <c r="H49" i="5" s="1"/>
  <c r="F11" i="5"/>
  <c r="H11" i="5" s="1"/>
  <c r="F10" i="5"/>
  <c r="H10" i="5" s="1"/>
  <c r="F49" i="4"/>
  <c r="H49" i="4" s="1"/>
  <c r="F11" i="4"/>
  <c r="H11" i="4" s="1"/>
  <c r="F10" i="4"/>
  <c r="H10" i="4" s="1"/>
  <c r="F22" i="4" l="1"/>
  <c r="H22" i="4" s="1"/>
  <c r="H12" i="4"/>
  <c r="F21" i="4"/>
  <c r="H21" i="4" s="1"/>
  <c r="H35" i="5"/>
  <c r="F14" i="5"/>
  <c r="H14" i="5" s="1"/>
  <c r="F16" i="5"/>
  <c r="H16" i="5" s="1"/>
  <c r="F25" i="5"/>
  <c r="H25" i="5" s="1"/>
  <c r="H31" i="5" s="1"/>
  <c r="D15" i="6" s="1"/>
  <c r="H37" i="5"/>
  <c r="F36" i="4"/>
  <c r="H36" i="4" s="1"/>
  <c r="H38" i="5"/>
  <c r="F15" i="4"/>
  <c r="H15" i="4" s="1"/>
  <c r="F47" i="5"/>
  <c r="H47" i="5" s="1"/>
  <c r="F27" i="4"/>
  <c r="H27" i="4" s="1"/>
  <c r="F48" i="4"/>
  <c r="H48" i="4" s="1"/>
  <c r="H43" i="5"/>
  <c r="F42" i="4"/>
  <c r="H42" i="4" s="1"/>
  <c r="H34" i="5"/>
  <c r="H39" i="5"/>
  <c r="F33" i="4"/>
  <c r="H33" i="4" s="1"/>
  <c r="H40" i="5"/>
  <c r="F28" i="4"/>
  <c r="H28" i="4" s="1"/>
  <c r="F26" i="4"/>
  <c r="H26" i="4" s="1"/>
  <c r="F20" i="4"/>
  <c r="H20" i="4" s="1"/>
  <c r="F19" i="4"/>
  <c r="H19" i="4" s="1"/>
  <c r="H12" i="5"/>
  <c r="D9" i="6" l="1"/>
  <c r="E10" i="6" s="1"/>
  <c r="H44" i="4"/>
  <c r="H31" i="4"/>
  <c r="H16" i="6"/>
  <c r="I16" i="6"/>
  <c r="K16" i="6"/>
  <c r="L16" i="6"/>
  <c r="M16" i="6"/>
  <c r="N16" i="6"/>
  <c r="O16" i="6"/>
  <c r="P16" i="6"/>
  <c r="F16" i="6"/>
  <c r="E16" i="6"/>
  <c r="G16" i="6"/>
  <c r="J16" i="6"/>
  <c r="H44" i="5"/>
  <c r="D17" i="6" s="1"/>
  <c r="G18" i="6" l="1"/>
  <c r="H18" i="6"/>
  <c r="I18" i="6"/>
  <c r="J18" i="6"/>
  <c r="K18" i="6"/>
  <c r="L18" i="6"/>
  <c r="P18" i="6"/>
  <c r="E18" i="6"/>
  <c r="M18" i="6"/>
  <c r="N18" i="6"/>
  <c r="O18" i="6"/>
  <c r="F18" i="6"/>
  <c r="H23" i="5"/>
  <c r="D13" i="6" s="1"/>
  <c r="H23" i="4"/>
  <c r="H17" i="4"/>
  <c r="H17" i="5"/>
  <c r="F14" i="6" l="1"/>
  <c r="G14" i="6"/>
  <c r="H14" i="6"/>
  <c r="I14" i="6"/>
  <c r="J14" i="6"/>
  <c r="K14" i="6"/>
  <c r="L14" i="6"/>
  <c r="M14" i="6"/>
  <c r="N14" i="6"/>
  <c r="O14" i="6"/>
  <c r="P14" i="6"/>
  <c r="E14" i="6"/>
  <c r="D11" i="6"/>
  <c r="F12" i="6" l="1"/>
  <c r="G12" i="6"/>
  <c r="H12" i="6"/>
  <c r="I12" i="6"/>
  <c r="J12" i="6"/>
  <c r="K12" i="6"/>
  <c r="L12" i="6"/>
  <c r="M12" i="6"/>
  <c r="N12" i="6"/>
  <c r="O12" i="6"/>
  <c r="P12" i="6"/>
  <c r="E12" i="6"/>
  <c r="H46" i="5" l="1"/>
  <c r="H50" i="5" s="1"/>
  <c r="H51" i="5" s="1"/>
  <c r="H46" i="4"/>
  <c r="H50" i="4" l="1"/>
  <c r="D19" i="6"/>
  <c r="D21" i="6" s="1"/>
  <c r="H53" i="5"/>
  <c r="D22" i="6" s="1"/>
  <c r="H51" i="4" l="1"/>
  <c r="H53" i="4" s="1"/>
  <c r="F20" i="6"/>
  <c r="G20" i="6"/>
  <c r="I20" i="6"/>
  <c r="M20" i="6"/>
  <c r="N20" i="6"/>
  <c r="J20" i="6"/>
  <c r="H20" i="6"/>
  <c r="E20" i="6"/>
  <c r="K20" i="6"/>
  <c r="L20" i="6"/>
  <c r="O20" i="6"/>
  <c r="P20" i="6"/>
  <c r="I21" i="6" l="1"/>
  <c r="I22" i="6" s="1"/>
  <c r="I23" i="6" s="1"/>
  <c r="G21" i="6"/>
  <c r="G22" i="6" s="1"/>
  <c r="G23" i="6" s="1"/>
  <c r="O21" i="6"/>
  <c r="O22" i="6" s="1"/>
  <c r="O23" i="6" s="1"/>
  <c r="L21" i="6"/>
  <c r="L22" i="6" s="1"/>
  <c r="L23" i="6" s="1"/>
  <c r="K21" i="6"/>
  <c r="K22" i="6" s="1"/>
  <c r="K23" i="6" s="1"/>
  <c r="F21" i="6"/>
  <c r="F22" i="6" s="1"/>
  <c r="F23" i="6" s="1"/>
  <c r="H21" i="6"/>
  <c r="H22" i="6" s="1"/>
  <c r="H23" i="6" s="1"/>
  <c r="J21" i="6"/>
  <c r="J22" i="6" s="1"/>
  <c r="J23" i="6" s="1"/>
  <c r="N21" i="6"/>
  <c r="N22" i="6" s="1"/>
  <c r="N23" i="6" s="1"/>
  <c r="P21" i="6"/>
  <c r="P22" i="6" s="1"/>
  <c r="P23" i="6" s="1"/>
  <c r="E21" i="6"/>
  <c r="E22" i="6" s="1"/>
  <c r="E23" i="6" s="1"/>
  <c r="M21" i="6"/>
  <c r="M22" i="6" s="1"/>
  <c r="M23" i="6" s="1"/>
  <c r="D23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0" authorId="0" shapeId="0" xr:uid="{A634FA2F-7A91-41F1-8FA3-CED45EC58774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4 barras por estaca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Diego Felipe Portugal Furtuna</author>
  </authors>
  <commentList>
    <comment ref="H2" authorId="0" shapeId="0" xr:uid="{75CD5D9C-F8F3-4664-A93B-97A37B3D7D67}">
      <text>
        <r>
          <rPr>
            <b/>
            <sz val="9"/>
            <color indexed="81"/>
            <rFont val="Segoe UI"/>
            <charset val="1"/>
          </rPr>
          <t>Diego Felipe Portugal Furtuna:</t>
        </r>
        <r>
          <rPr>
            <sz val="9"/>
            <color indexed="81"/>
            <rFont val="Segoe UI"/>
            <charset val="1"/>
          </rPr>
          <t xml:space="preserve">
0,8 metros de comprimento</t>
        </r>
      </text>
    </comment>
  </commentList>
</comments>
</file>

<file path=xl/sharedStrings.xml><?xml version="1.0" encoding="utf-8"?>
<sst xmlns="http://schemas.openxmlformats.org/spreadsheetml/2006/main" count="704" uniqueCount="251">
  <si>
    <t>Gavetario</t>
  </si>
  <si>
    <t>Prefeitura do Município de Carapicuíba</t>
  </si>
  <si>
    <t>Objeto: Construção de Túmulos Verticais no Cemitério Municipal de Carapicuíba</t>
  </si>
  <si>
    <t>Local: R. Dumont, s/n - Cidade Ariston Estela Azevedo, Carapicuíba/SP - CEP 06396-200</t>
  </si>
  <si>
    <t>Planilha Orçamentária</t>
  </si>
  <si>
    <t>Item</t>
  </si>
  <si>
    <t>Referência</t>
  </si>
  <si>
    <t>Código</t>
  </si>
  <si>
    <t>Descrição</t>
  </si>
  <si>
    <t>Unidade</t>
  </si>
  <si>
    <t>Quantidade</t>
  </si>
  <si>
    <t>Serviços Preliminares</t>
  </si>
  <si>
    <t>17-30-02</t>
  </si>
  <si>
    <t>Placa de obra em chapa de aço galvanizado</t>
  </si>
  <si>
    <t>m²</t>
  </si>
  <si>
    <t>Memória</t>
  </si>
  <si>
    <t>m³</t>
  </si>
  <si>
    <t>01-01-08</t>
  </si>
  <si>
    <t>Limpeza manual geral inclusive remoção de cobertura vegetal - tronco até 10cm - sem transporte</t>
  </si>
  <si>
    <t>Sinapi 202203</t>
  </si>
  <si>
    <t>m</t>
  </si>
  <si>
    <t>Placa de obra em chapa de aço galvanizado com as dimensões de 4x2 metros, com as informações da obra.</t>
  </si>
  <si>
    <t>04-01-41</t>
  </si>
  <si>
    <t>Bloco vazados de concreto - 14cm</t>
  </si>
  <si>
    <t>02-04-04</t>
  </si>
  <si>
    <t>kg</t>
  </si>
  <si>
    <t>Armadura em aço CA-50.</t>
  </si>
  <si>
    <t>02-03-01</t>
  </si>
  <si>
    <t>Forma comum de tábuas de pinus.</t>
  </si>
  <si>
    <t>02-05-06</t>
  </si>
  <si>
    <t>Concreto FCK-20 Mpa - Virado em obra.</t>
  </si>
  <si>
    <t>Bloco vazados de concreto - 14cm.</t>
  </si>
  <si>
    <t>101963</t>
  </si>
  <si>
    <t>Laje pré-moldada unidirecional, biapoiada, para piso, enchimento em cerâmica, vigota convencional, altura total da laje (enchimento+capa)=(8+4). AF_11/2020</t>
  </si>
  <si>
    <t>02-04-07</t>
  </si>
  <si>
    <t>Armadura em aço CA-60.</t>
  </si>
  <si>
    <t>Acabamentos</t>
  </si>
  <si>
    <t>10-04-64</t>
  </si>
  <si>
    <t>89499</t>
  </si>
  <si>
    <t>94692</t>
  </si>
  <si>
    <t>Tubo de PVC rígido, soldável (linha água) - 40mm (1 1/4")</t>
  </si>
  <si>
    <t>Curva 90º, PVC, soldável, DN 40mm, instalado em prumada de água - fornecimento e instalação. AF_12/2014</t>
  </si>
  <si>
    <t>Tê, pvc, soldável, DN 40mm instalado em reservação de água de edificação que possua reservatório de fibra/fibrocimento</t>
  </si>
  <si>
    <t>Argamassa impermeabilizante de cimento e areia(reboco impermeave) - Traço 1:3, espessura de 20mm</t>
  </si>
  <si>
    <t>05-01-01</t>
  </si>
  <si>
    <t>11-01-09</t>
  </si>
  <si>
    <t>15-01-15</t>
  </si>
  <si>
    <t>17-04-01</t>
  </si>
  <si>
    <t>Emboço desempenado para pintura- argamassa mista cimento, cal e areia 1:3/12</t>
  </si>
  <si>
    <t>Tinta acrílica - concreto ou reboco sem massa corrida</t>
  </si>
  <si>
    <t>Limpeza geral da obra</t>
  </si>
  <si>
    <t>Limpeza final da obra levando em consideração a área total da quadra. Q63=420,922m²</t>
  </si>
  <si>
    <t>Caixa Necrochorume</t>
  </si>
  <si>
    <t>Laje treliçada para o gavetario.</t>
  </si>
  <si>
    <t>Tubos para coleta do necrochorume e gases.</t>
  </si>
  <si>
    <t>Peças para coleta do necrochorume e gases.</t>
  </si>
  <si>
    <t>Argamassa impermeabilizante aplicada dentro das gavetas,</t>
  </si>
  <si>
    <t>Emboço aplicado do lado externo do gavetario.</t>
  </si>
  <si>
    <t>Pintura externa do gavetario.</t>
  </si>
  <si>
    <t>Concreto FCK=20 Mpa - Virado em obra</t>
  </si>
  <si>
    <t>Planilha Memória de Cálculo</t>
  </si>
  <si>
    <t>Valor Total</t>
  </si>
  <si>
    <t>BDI</t>
  </si>
  <si>
    <t>Valor Total com BDI</t>
  </si>
  <si>
    <t>101173</t>
  </si>
  <si>
    <t>Estaca broca de concreto, diâmetro de 20cm, escavação manual com trado concha, com armadura de arranque. AF_05/2020</t>
  </si>
  <si>
    <t>Aço para os pilares do gavetario CA-50 ø 6,3mm.</t>
  </si>
  <si>
    <t>Forma para as lajes dos gavetario altura de 12cm.</t>
  </si>
  <si>
    <t>Armadura complementar para laje treliçada CA-60 ø5mm com 5 barras por metro (armadura minima adota pela NBR 14859) .</t>
  </si>
  <si>
    <t>Concreto para capa da laje treliçada com 4cm de altura.</t>
  </si>
  <si>
    <t>01-02-02</t>
  </si>
  <si>
    <t>Corte e espalhamento dentro da obra.</t>
  </si>
  <si>
    <t xml:space="preserve">Valor Unit </t>
  </si>
  <si>
    <t>Valor Total Geral</t>
  </si>
  <si>
    <t>Total Serviços Preliminares</t>
  </si>
  <si>
    <t>Total Caixa Necrochorume</t>
  </si>
  <si>
    <t>Total Gavetario</t>
  </si>
  <si>
    <t>Total Acabamentos</t>
  </si>
  <si>
    <t>Fundação - Estacas</t>
  </si>
  <si>
    <t>Total Estacas</t>
  </si>
  <si>
    <t>Concreto para os pilares do gavetario.</t>
  </si>
  <si>
    <t>11-01-01</t>
  </si>
  <si>
    <t>Chapisco comum - Argamassa de cimento e areia 1:3</t>
  </si>
  <si>
    <t>Cronograma Físico Financeiro</t>
  </si>
  <si>
    <t>Serviços</t>
  </si>
  <si>
    <t>Valores R$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</si>
  <si>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</si>
  <si>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</si>
  <si>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</si>
  <si>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</si>
  <si>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</si>
  <si>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</si>
  <si>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</si>
  <si>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</si>
  <si>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</si>
  <si>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</si>
  <si>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</si>
  <si>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</si>
  <si>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Servições Preliminares</t>
  </si>
  <si>
    <t>Blocos  para execução do gavetario com perda estimada de 10%.</t>
  </si>
  <si>
    <t>05-01-43</t>
  </si>
  <si>
    <t>Pintura protetora com tinta betuminosa(para argamassa impermeavel) - 2 demãos.</t>
  </si>
  <si>
    <t>Pintura protetora com tinta betuminosa (para argamassa impermeavel) - 2 demãos</t>
  </si>
  <si>
    <t>Itens</t>
  </si>
  <si>
    <t>Siglas</t>
  </si>
  <si>
    <t>% adotada</t>
  </si>
  <si>
    <t>Seguro e Garantia</t>
  </si>
  <si>
    <t>Risco</t>
  </si>
  <si>
    <t>Despesas Financeiras</t>
  </si>
  <si>
    <t>Lucro</t>
  </si>
  <si>
    <t>Tributos (impostos COFINS 3%, e PIS 0,65%)</t>
  </si>
  <si>
    <t>Tributos (ISS, variável de acordo com o municipio)</t>
  </si>
  <si>
    <t>Tributos (Contribuição Previdenciária sobre a Receita Bruta - 0% ou 4,5% - Desoneração)</t>
  </si>
  <si>
    <t>BDI COM desoneração</t>
  </si>
  <si>
    <t>Administração Central</t>
  </si>
  <si>
    <t>AC</t>
  </si>
  <si>
    <t>SG</t>
  </si>
  <si>
    <t>R</t>
  </si>
  <si>
    <t>DF</t>
  </si>
  <si>
    <t>L</t>
  </si>
  <si>
    <t>CP</t>
  </si>
  <si>
    <t>ISS</t>
  </si>
  <si>
    <t>CPRB</t>
  </si>
  <si>
    <t>Os valores de BDI foram calculados com o emprego da fórmula:</t>
  </si>
  <si>
    <t>Cálculo de BDI (Base de cálculo planilha Caixa Econômica Federal)</t>
  </si>
  <si>
    <t>Altura (m)</t>
  </si>
  <si>
    <t>Largura (m)</t>
  </si>
  <si>
    <t>Comprimento (m)</t>
  </si>
  <si>
    <t>Quantidade de Barras na Largura (Uni)</t>
  </si>
  <si>
    <t>Quantidade de Barras no Comprimento (Uni)</t>
  </si>
  <si>
    <t>Argamassa Impermeabilizante (m²)</t>
  </si>
  <si>
    <t>Pintura Protetora (m²)</t>
  </si>
  <si>
    <t>Concreto (m³)</t>
  </si>
  <si>
    <t>Formas (m²)</t>
  </si>
  <si>
    <t>Blocos (m²)</t>
  </si>
  <si>
    <t>Dados - Cx Necrochorume</t>
  </si>
  <si>
    <t>BDI =(((1+AC+SG+R)*(1+DF)*(1+L))/(1-CP-ISS-CRPB))-1</t>
  </si>
  <si>
    <t>Pintura interna do muro de arrimo.</t>
  </si>
  <si>
    <t>Volume de Corte (m³)
E=25%</t>
  </si>
  <si>
    <t>Aço CA-50</t>
  </si>
  <si>
    <t>Diâmetro Nominal (mm)</t>
  </si>
  <si>
    <t>Massa Nominal (kg/m)</t>
  </si>
  <si>
    <t>Aço CA-60</t>
  </si>
  <si>
    <t>Chapisco aplicado do lado externo do gavetario.</t>
  </si>
  <si>
    <t>BDI SEM desoneração</t>
  </si>
  <si>
    <t>BDI c/ DES</t>
  </si>
  <si>
    <t>BDI s/ DES</t>
  </si>
  <si>
    <t>Sub Total</t>
  </si>
  <si>
    <t>Total c/ BDI</t>
  </si>
  <si>
    <t>Siurb Jan/2022</t>
  </si>
  <si>
    <t>Dados Lajes</t>
  </si>
  <si>
    <t>Nº de Lajes</t>
  </si>
  <si>
    <t>Localização</t>
  </si>
  <si>
    <t>Queimador 1</t>
  </si>
  <si>
    <t>Queimador 2</t>
  </si>
  <si>
    <t>Quadra 85</t>
  </si>
  <si>
    <t>Formas Laje
h=10cm (m²)</t>
  </si>
  <si>
    <t>Nº de Pilares</t>
  </si>
  <si>
    <t>Profundidade</t>
  </si>
  <si>
    <t xml:space="preserve">Queimador </t>
  </si>
  <si>
    <t>Dados Estacas</t>
  </si>
  <si>
    <t>Dados Baldrame</t>
  </si>
  <si>
    <t>Queimador</t>
  </si>
  <si>
    <t>Base</t>
  </si>
  <si>
    <t>Altura</t>
  </si>
  <si>
    <t>Comprimento</t>
  </si>
  <si>
    <t>Quantidade de Barras</t>
  </si>
  <si>
    <t>Quantidade de Estribos</t>
  </si>
  <si>
    <t>Largura</t>
  </si>
  <si>
    <t>Dados Alvenaria</t>
  </si>
  <si>
    <t>Nº de paredes largura</t>
  </si>
  <si>
    <t>Nº de paredes comprimento</t>
  </si>
  <si>
    <t>Dados Hidraúlica</t>
  </si>
  <si>
    <t>Comprimento barras horizontais</t>
  </si>
  <si>
    <t>Curvas por torre</t>
  </si>
  <si>
    <t>Tês por torre</t>
  </si>
  <si>
    <t>Altura barras verticas</t>
  </si>
  <si>
    <t>Número de torres</t>
  </si>
  <si>
    <t>-</t>
  </si>
  <si>
    <t>Fundação - Baldrame</t>
  </si>
  <si>
    <t>Limpeza da vegetação na área total dos terrenos, Quadra 85 = 314,01m² ; Queimador = 148,81m².</t>
  </si>
  <si>
    <t>Corte para construção de 4 caixas de necrochorume com 1,2m de profundidade e empolamento de 25%.
((1,4*1,4*1,2)*1,25)*4=11,76m³</t>
  </si>
  <si>
    <t>Formas para a base e a tampa da caixa de necrochorume.
((1,4*1,4)+((1,4*2+1,4*2)*0,1)*2)*4=12,32m²</t>
  </si>
  <si>
    <t>Concreto para a base e a tampa da caixa de necrochorume.
((1,4*1,4*0,1)*2)*4=1,57m³</t>
  </si>
  <si>
    <t>Blocos para execução da caixa de necrochorume com 1m de altura.
((1,4*2+1,4*2)*1)*4=22,4m²</t>
  </si>
  <si>
    <t>Argamassa impermeabilizante para ser aplicada intenamente.
Base ((1,11x1,06)=1,18m²); Paredes (((2x1,11+2x1,06)x1)=4,34m²);  Total ((1,18+4,34)*4)=22,07m²</t>
  </si>
  <si>
    <t>Pintura interna da caixa de necrochorume.
Base ((1,11x1,06)=1,18m²); Paredes (((2x1,11+2x1,06)x1)=4,34m²);  Total ((1,18+4,34)*4)=22,07m²</t>
  </si>
  <si>
    <t>Quantitativos</t>
  </si>
  <si>
    <t>Metragem</t>
  </si>
  <si>
    <t>Total</t>
  </si>
  <si>
    <t>Aço para armadura da estaca e do muro de arrimo, 4 barras de CA-50 ø10mm.</t>
  </si>
  <si>
    <t>Aço para estribo da estaca do muro de arrimo CA-60 ø5mm a cada 20cm.</t>
  </si>
  <si>
    <t>96530</t>
  </si>
  <si>
    <t>FABRICAÇÃO, MONTAGEM E DESMONTAGEM DE FÔRMA PARA VIGA BALDRAME, EM MADEIRA SERRADA, E=25 MM, 1 UTILIZAÇÃO. AF_06/2017</t>
  </si>
  <si>
    <t>01-03-01</t>
  </si>
  <si>
    <t>CORTE E ESPALHAMENTO DENTRO DA OBRA</t>
  </si>
  <si>
    <t>Barras CA 50 10mm em kg</t>
  </si>
  <si>
    <t>Formas de madeira (m)</t>
  </si>
  <si>
    <t>Comprimento barras CA 50 10mm (m)</t>
  </si>
  <si>
    <t>Corte E=25%
m³</t>
  </si>
  <si>
    <t>Volume m³</t>
  </si>
  <si>
    <t>Aço armadura (m)</t>
  </si>
  <si>
    <t>Aço Armadura (kg)</t>
  </si>
  <si>
    <t>Estribos</t>
  </si>
  <si>
    <t>Estribos em m</t>
  </si>
  <si>
    <t>Estribos (m)</t>
  </si>
  <si>
    <t>Estribos (kg)</t>
  </si>
  <si>
    <t>Estribos por estaca</t>
  </si>
  <si>
    <t>Estribos em kg</t>
  </si>
  <si>
    <t>Volume de concreto</t>
  </si>
  <si>
    <t>Barras por kg</t>
  </si>
  <si>
    <r>
      <t>Formas da laje m</t>
    </r>
    <r>
      <rPr>
        <sz val="10"/>
        <color theme="1"/>
        <rFont val="Calibri"/>
        <family val="2"/>
      </rPr>
      <t>²</t>
    </r>
  </si>
  <si>
    <t>Barras em kg</t>
  </si>
  <si>
    <t>Metragem paredes</t>
  </si>
  <si>
    <t>Barras por parede</t>
  </si>
  <si>
    <t>Barras por paredes totais</t>
  </si>
  <si>
    <t>Metragem da barras por parede</t>
  </si>
  <si>
    <t>Metragem de aço</t>
  </si>
  <si>
    <t>Aço em kg</t>
  </si>
  <si>
    <t>Metragem barras verticais</t>
  </si>
  <si>
    <t>Quantidade de tês</t>
  </si>
  <si>
    <t>Quantidade de curvas</t>
  </si>
  <si>
    <t>Metragem barras horizontais</t>
  </si>
  <si>
    <t>Estaca 3,00m de profundidade e diâmetro de 20cm.</t>
  </si>
  <si>
    <t>Madeiramento do baldrame</t>
  </si>
  <si>
    <t>Concreto para o baldrame</t>
  </si>
  <si>
    <t>Pintura betuminosa</t>
  </si>
  <si>
    <t>Área de acabamento</t>
  </si>
  <si>
    <t>Volume por laje</t>
  </si>
  <si>
    <t>Volume por conjunto</t>
  </si>
  <si>
    <t>Volume de concreto por conjunto</t>
  </si>
  <si>
    <t>Área das lajes</t>
  </si>
  <si>
    <t>Área das lajes totais</t>
  </si>
  <si>
    <t>Área interna</t>
  </si>
  <si>
    <t>Número de gavetas por torre</t>
  </si>
  <si>
    <t>Gavetas totais</t>
  </si>
  <si>
    <t>Área interna para impermeabilização</t>
  </si>
  <si>
    <t xml:space="preserve">_____________________________________________________
Diego Felipe Portugal Furtuna
CREA 5069577489        Matrícula 52533        </t>
  </si>
  <si>
    <t>Área para pilar</t>
  </si>
  <si>
    <t>Quantidades por parede</t>
  </si>
  <si>
    <t>Quantidade Geral</t>
  </si>
  <si>
    <t>Volume Total m³</t>
  </si>
  <si>
    <t>Volume para pilar</t>
  </si>
  <si>
    <t>Volume do pilar</t>
  </si>
  <si>
    <t xml:space="preserve">_____________________________________________________
Diego Felipe Portugal Furtuna
CREA 5069577489        Matrícula 52533      </t>
  </si>
  <si>
    <t xml:space="preserve">_____________________________________________________
Diego Felipe Portugal Furtuna
CREA 5069577489        Matrícula 52533     </t>
  </si>
  <si>
    <t>Sinapi 202308</t>
  </si>
  <si>
    <t>Referências:
Tabela SIURB com desoneração Jul/2023
Tabela SINAPI com desoneração 082023</t>
  </si>
  <si>
    <t>Referências:
Tabela SIURB sem desoneração Jul/2023
Tabela SINAPI sem desoneração 082023</t>
  </si>
  <si>
    <t>Siurb Jul/2023</t>
  </si>
  <si>
    <t>Total Baldrame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</si>
</sst>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indexed="8"/>
      <name val="Times New Roman"/>
      <family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Border="1"/>
    <xf numFmtId="0" fontId="2" fillId="2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4" fontId="3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44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0" fontId="2" fillId="0" borderId="9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vertical="center"/>
    </xf>
    <xf numFmtId="44" fontId="3" fillId="0" borderId="9" xfId="0" applyNumberFormat="1" applyFont="1" applyBorder="1"/>
    <xf numFmtId="0" fontId="2" fillId="4" borderId="9" xfId="0" applyFont="1" applyFill="1" applyBorder="1" applyAlignment="1">
      <alignment horizontal="center" vertical="center"/>
    </xf>
    <xf numFmtId="10" fontId="2" fillId="4" borderId="9" xfId="0" applyNumberFormat="1" applyFont="1" applyFill="1" applyBorder="1" applyAlignment="1">
      <alignment horizontal="center"/>
    </xf>
    <xf numFmtId="10" fontId="2" fillId="5" borderId="9" xfId="0" applyNumberFormat="1" applyFont="1" applyFill="1" applyBorder="1" applyAlignment="1">
      <alignment horizontal="center" vertical="center"/>
    </xf>
    <xf numFmtId="10" fontId="3" fillId="2" borderId="9" xfId="0" applyNumberFormat="1" applyFont="1" applyFill="1" applyBorder="1" applyAlignment="1">
      <alignment horizontal="center" vertical="center"/>
    </xf>
    <xf numFmtId="44" fontId="2" fillId="6" borderId="9" xfId="0" applyNumberFormat="1" applyFont="1" applyFill="1" applyBorder="1" applyAlignment="1">
      <alignment horizontal="center" vertical="center"/>
    </xf>
    <xf numFmtId="10" fontId="2" fillId="6" borderId="9" xfId="0" applyNumberFormat="1" applyFont="1" applyFill="1" applyBorder="1" applyAlignment="1">
      <alignment horizontal="center" vertical="center"/>
    </xf>
    <xf numFmtId="10" fontId="3" fillId="6" borderId="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4" fontId="2" fillId="0" borderId="2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/>
    <xf numFmtId="0" fontId="4" fillId="0" borderId="9" xfId="0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10" fontId="6" fillId="0" borderId="1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4" fontId="3" fillId="2" borderId="9" xfId="0" applyNumberFormat="1" applyFont="1" applyFill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44" fontId="3" fillId="6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49" fontId="3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right" vertical="center"/>
    </xf>
    <xf numFmtId="0" fontId="3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2" fillId="6" borderId="9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3</xdr:col>
      <xdr:colOff>45719</xdr:colOff>
      <xdr:row>6</xdr:row>
      <xdr:rowOff>111125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32EFDE-8A80-47D6-ADFF-A80EA1F6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66949" cy="1240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438361</xdr:colOff>
      <xdr:row>6</xdr:row>
      <xdr:rowOff>111125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289E146-C9C3-410A-8B52-40EBE9489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66949" cy="1240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438361</xdr:colOff>
      <xdr:row>6</xdr:row>
      <xdr:rowOff>111125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87749F1-C3C0-4464-8586-E5FE0372F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61446" cy="1235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441959</xdr:colOff>
      <xdr:row>6</xdr:row>
      <xdr:rowOff>93345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A3045EC-2B0D-4392-A6A8-B3CDDBD6D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272664" cy="1217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B8" sqref="B8"/>
    </sheetView>
  </sheetViews>
  <sheetFormatPr defaultColWidth="8.85546875" defaultRowHeight="14.25" x14ac:dyDescent="0.2"/>
  <cols>
    <col min="1" max="1" width="10.42578125" style="42" customWidth="1"/>
    <col min="2" max="3" width="8.85546875" style="42"/>
    <col min="4" max="4" width="10.140625" style="42" customWidth="1"/>
    <col min="5" max="16384" width="8.85546875" style="42"/>
  </cols>
  <sheetData>
    <row r="1" spans="1:5" ht="16.5" thickBot="1" x14ac:dyDescent="0.3">
      <c r="A1" s="81" t="s">
        <v>139</v>
      </c>
      <c r="B1" s="82"/>
      <c r="D1" s="83" t="s">
        <v>142</v>
      </c>
      <c r="E1" s="84"/>
    </row>
    <row r="2" spans="1:5" x14ac:dyDescent="0.2">
      <c r="A2" s="75" t="s">
        <v>140</v>
      </c>
      <c r="B2" s="78" t="s">
        <v>141</v>
      </c>
      <c r="D2" s="75" t="s">
        <v>140</v>
      </c>
      <c r="E2" s="78" t="s">
        <v>141</v>
      </c>
    </row>
    <row r="3" spans="1:5" x14ac:dyDescent="0.2">
      <c r="A3" s="76"/>
      <c r="B3" s="79"/>
      <c r="D3" s="76"/>
      <c r="E3" s="79"/>
    </row>
    <row r="4" spans="1:5" x14ac:dyDescent="0.2">
      <c r="A4" s="76"/>
      <c r="B4" s="79"/>
      <c r="D4" s="76"/>
      <c r="E4" s="79"/>
    </row>
    <row r="5" spans="1:5" ht="15" thickBot="1" x14ac:dyDescent="0.25">
      <c r="A5" s="77"/>
      <c r="B5" s="80"/>
      <c r="D5" s="77"/>
      <c r="E5" s="80"/>
    </row>
    <row r="6" spans="1:5" x14ac:dyDescent="0.2">
      <c r="A6" s="38">
        <v>6.3</v>
      </c>
      <c r="B6" s="41">
        <v>0.245</v>
      </c>
      <c r="D6" s="37">
        <v>4.2</v>
      </c>
      <c r="E6" s="40">
        <v>0.109</v>
      </c>
    </row>
    <row r="7" spans="1:5" x14ac:dyDescent="0.2">
      <c r="A7" s="38">
        <v>8</v>
      </c>
      <c r="B7" s="41">
        <v>0.39500000000000002</v>
      </c>
      <c r="D7" s="38">
        <v>5</v>
      </c>
      <c r="E7" s="41">
        <v>0.154</v>
      </c>
    </row>
    <row r="8" spans="1:5" x14ac:dyDescent="0.2">
      <c r="A8" s="38">
        <v>10</v>
      </c>
      <c r="B8" s="41">
        <v>0.61699999999999999</v>
      </c>
      <c r="D8" s="38">
        <v>6</v>
      </c>
      <c r="E8" s="41">
        <v>0.222</v>
      </c>
    </row>
    <row r="9" spans="1:5" x14ac:dyDescent="0.2">
      <c r="A9" s="38">
        <v>12.5</v>
      </c>
      <c r="B9" s="41">
        <v>0.96299999999999997</v>
      </c>
      <c r="D9" s="38">
        <v>7</v>
      </c>
      <c r="E9" s="41">
        <v>0.30199999999999999</v>
      </c>
    </row>
    <row r="10" spans="1:5" x14ac:dyDescent="0.2">
      <c r="A10" s="38">
        <v>16</v>
      </c>
      <c r="B10" s="41">
        <v>1.5780000000000001</v>
      </c>
      <c r="D10" s="38">
        <v>8</v>
      </c>
      <c r="E10" s="41">
        <v>0.39500000000000002</v>
      </c>
    </row>
    <row r="11" spans="1:5" ht="15" thickBot="1" x14ac:dyDescent="0.25">
      <c r="A11" s="38">
        <v>20</v>
      </c>
      <c r="B11" s="41">
        <v>2.4660000000000002</v>
      </c>
      <c r="D11" s="1">
        <v>9.5</v>
      </c>
      <c r="E11" s="2">
        <v>0.55800000000000005</v>
      </c>
    </row>
    <row r="12" spans="1:5" x14ac:dyDescent="0.2">
      <c r="A12" s="38">
        <v>25</v>
      </c>
      <c r="B12" s="41">
        <v>3.8530000000000002</v>
      </c>
    </row>
    <row r="13" spans="1:5" x14ac:dyDescent="0.2">
      <c r="A13" s="38">
        <v>32</v>
      </c>
      <c r="B13" s="41">
        <v>6.3129999999999997</v>
      </c>
    </row>
    <row r="14" spans="1:5" ht="15" thickBot="1" x14ac:dyDescent="0.25">
      <c r="A14" s="1">
        <v>40</v>
      </c>
      <c r="B14" s="2">
        <v>9.8650000000000002</v>
      </c>
    </row>
  </sheetData>
  <mergeCells count="6">
    <mergeCell ref="A2:A5"/>
    <mergeCell ref="B2:B5"/>
    <mergeCell ref="A1:B1"/>
    <mergeCell ref="D2:D5"/>
    <mergeCell ref="E2:E5"/>
    <mergeCell ref="D1:E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4">
    <pageSetUpPr fitToPage="1"/>
  </sheetPr>
  <dimension ref="A1:P67"/>
  <sheetViews>
    <sheetView showGridLines="0" topLeftCell="B10" zoomScale="70" zoomScaleNormal="70" workbookViewId="0">
      <selection activeCell="D48" sqref="D48"/>
    </sheetView>
  </sheetViews>
  <sheetFormatPr defaultColWidth="8.85546875" defaultRowHeight="15" x14ac:dyDescent="0.2"/>
  <cols>
    <col min="1" max="1" width="11.28515625" style="13" customWidth="1"/>
    <col min="2" max="2" width="15.7109375" style="13" bestFit="1" customWidth="1"/>
    <col min="3" max="3" width="11.28515625" style="13" customWidth="1"/>
    <col min="4" max="4" width="171.28515625" style="13" bestFit="1" customWidth="1"/>
    <col min="5" max="5" width="10.140625" style="13" bestFit="1" customWidth="1"/>
    <col min="6" max="6" width="13.85546875" style="13" bestFit="1" customWidth="1"/>
    <col min="7" max="7" width="13.140625" style="13" bestFit="1" customWidth="1"/>
    <col min="8" max="8" width="19.7109375" style="13" customWidth="1"/>
    <col min="9" max="16384" width="8.85546875" style="4"/>
  </cols>
  <sheetData>
    <row r="1" spans="1:8" ht="15" customHeight="1" x14ac:dyDescent="0.2">
      <c r="A1" s="156"/>
      <c r="B1" s="156"/>
      <c r="C1" s="156"/>
      <c r="D1" s="157" t="s">
        <v>1</v>
      </c>
      <c r="E1" s="157" t="s">
        <v>247</v>
      </c>
      <c r="F1" s="157"/>
      <c r="G1" s="157"/>
      <c r="H1" s="157"/>
    </row>
    <row r="2" spans="1:8" ht="15" customHeight="1" x14ac:dyDescent="0.2">
      <c r="A2" s="156"/>
      <c r="B2" s="156"/>
      <c r="C2" s="156"/>
      <c r="D2" s="157"/>
      <c r="E2" s="157"/>
      <c r="F2" s="157"/>
      <c r="G2" s="157"/>
      <c r="H2" s="157"/>
    </row>
    <row r="3" spans="1:8" ht="15" customHeight="1" x14ac:dyDescent="0.2">
      <c r="A3" s="156"/>
      <c r="B3" s="156"/>
      <c r="C3" s="156"/>
      <c r="D3" s="157" t="s">
        <v>2</v>
      </c>
      <c r="E3" s="157"/>
      <c r="F3" s="157"/>
      <c r="G3" s="157"/>
      <c r="H3" s="157"/>
    </row>
    <row r="4" spans="1:8" ht="15" customHeight="1" x14ac:dyDescent="0.2">
      <c r="A4" s="156"/>
      <c r="B4" s="156"/>
      <c r="C4" s="156"/>
      <c r="D4" s="157"/>
      <c r="E4" s="157"/>
      <c r="F4" s="157"/>
      <c r="G4" s="157"/>
      <c r="H4" s="157"/>
    </row>
    <row r="5" spans="1:8" ht="15" customHeight="1" x14ac:dyDescent="0.2">
      <c r="A5" s="156"/>
      <c r="B5" s="156"/>
      <c r="C5" s="156"/>
      <c r="D5" s="157" t="s">
        <v>3</v>
      </c>
      <c r="E5" s="157"/>
      <c r="F5" s="157"/>
      <c r="G5" s="157"/>
      <c r="H5" s="157"/>
    </row>
    <row r="6" spans="1:8" ht="15" customHeight="1" x14ac:dyDescent="0.2">
      <c r="A6" s="156"/>
      <c r="B6" s="156"/>
      <c r="C6" s="156"/>
      <c r="D6" s="157"/>
      <c r="E6" s="157"/>
      <c r="F6" s="157"/>
      <c r="G6" s="157"/>
      <c r="H6" s="157"/>
    </row>
    <row r="7" spans="1:8" ht="15" customHeight="1" x14ac:dyDescent="0.2">
      <c r="A7" s="156"/>
      <c r="B7" s="156"/>
      <c r="C7" s="156"/>
      <c r="D7" s="20" t="s">
        <v>4</v>
      </c>
      <c r="E7" s="157"/>
      <c r="F7" s="157"/>
      <c r="G7" s="157"/>
      <c r="H7" s="157"/>
    </row>
    <row r="8" spans="1:8" ht="15" customHeight="1" x14ac:dyDescent="0.2">
      <c r="A8" s="9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72</v>
      </c>
      <c r="H8" s="9" t="s">
        <v>61</v>
      </c>
    </row>
    <row r="9" spans="1:8" ht="15" customHeight="1" x14ac:dyDescent="0.25">
      <c r="A9" s="150" t="s">
        <v>11</v>
      </c>
      <c r="B9" s="151"/>
      <c r="C9" s="151"/>
      <c r="D9" s="151"/>
      <c r="E9" s="151"/>
      <c r="F9" s="151"/>
      <c r="G9" s="151"/>
      <c r="H9" s="152"/>
    </row>
    <row r="10" spans="1:8" ht="15" customHeight="1" x14ac:dyDescent="0.2">
      <c r="A10" s="9">
        <v>1</v>
      </c>
      <c r="B10" s="6" t="s">
        <v>249</v>
      </c>
      <c r="C10" s="7" t="s">
        <v>12</v>
      </c>
      <c r="D10" s="5" t="s">
        <v>13</v>
      </c>
      <c r="E10" s="6" t="s">
        <v>14</v>
      </c>
      <c r="F10" s="6">
        <f>'Memória de Cálculo'!F10</f>
        <v>8</v>
      </c>
      <c r="G10" s="19">
        <v>389.63</v>
      </c>
      <c r="H10" s="19">
        <f>F10*G10</f>
        <v>3117.04</v>
      </c>
    </row>
    <row r="11" spans="1:8" ht="15" customHeight="1" x14ac:dyDescent="0.2">
      <c r="A11" s="9">
        <v>2</v>
      </c>
      <c r="B11" s="6" t="s">
        <v>249</v>
      </c>
      <c r="C11" s="7" t="s">
        <v>17</v>
      </c>
      <c r="D11" s="5" t="s">
        <v>18</v>
      </c>
      <c r="E11" s="6" t="s">
        <v>14</v>
      </c>
      <c r="F11" s="14">
        <f>'Memória de Cálculo'!F13</f>
        <v>462.82</v>
      </c>
      <c r="G11" s="19">
        <v>5.14</v>
      </c>
      <c r="H11" s="19">
        <f t="shared" ref="H11" si="0">F11*G11</f>
        <v>2378.8948</v>
      </c>
    </row>
    <row r="12" spans="1:8" ht="15" customHeight="1" x14ac:dyDescent="0.2">
      <c r="A12" s="153" t="s">
        <v>74</v>
      </c>
      <c r="B12" s="154"/>
      <c r="C12" s="154"/>
      <c r="D12" s="154"/>
      <c r="E12" s="154"/>
      <c r="F12" s="154"/>
      <c r="G12" s="155"/>
      <c r="H12" s="27">
        <f>SUM(H10:H11)</f>
        <v>5495.9348</v>
      </c>
    </row>
    <row r="13" spans="1:8" ht="15" customHeight="1" x14ac:dyDescent="0.2">
      <c r="A13" s="119" t="s">
        <v>78</v>
      </c>
      <c r="B13" s="120"/>
      <c r="C13" s="120"/>
      <c r="D13" s="120"/>
      <c r="E13" s="120"/>
      <c r="F13" s="120"/>
      <c r="G13" s="120"/>
      <c r="H13" s="121"/>
    </row>
    <row r="14" spans="1:8" ht="15" customHeight="1" x14ac:dyDescent="0.2">
      <c r="A14" s="9">
        <v>1</v>
      </c>
      <c r="B14" s="5" t="s">
        <v>246</v>
      </c>
      <c r="C14" s="7" t="s">
        <v>64</v>
      </c>
      <c r="D14" s="5" t="s">
        <v>65</v>
      </c>
      <c r="E14" s="11" t="s">
        <v>20</v>
      </c>
      <c r="F14" s="6">
        <f>'Memória de Cálculo'!F17</f>
        <v>312</v>
      </c>
      <c r="G14" s="28">
        <v>58.6</v>
      </c>
      <c r="H14" s="19">
        <f t="shared" ref="H14:H20" si="1">F14*G14</f>
        <v>18283.2</v>
      </c>
    </row>
    <row r="15" spans="1:8" ht="15" customHeight="1" x14ac:dyDescent="0.2">
      <c r="A15" s="9">
        <v>2</v>
      </c>
      <c r="B15" s="6" t="s">
        <v>249</v>
      </c>
      <c r="C15" s="7" t="s">
        <v>24</v>
      </c>
      <c r="D15" s="21" t="s">
        <v>26</v>
      </c>
      <c r="E15" s="6" t="s">
        <v>25</v>
      </c>
      <c r="F15" s="6">
        <f>'Memória de Cálculo'!F20</f>
        <v>356.32</v>
      </c>
      <c r="G15" s="19">
        <v>12.17</v>
      </c>
      <c r="H15" s="19">
        <f t="shared" si="1"/>
        <v>4336.4143999999997</v>
      </c>
    </row>
    <row r="16" spans="1:8" ht="15" customHeight="1" x14ac:dyDescent="0.2">
      <c r="A16" s="9">
        <v>3</v>
      </c>
      <c r="B16" s="6" t="s">
        <v>249</v>
      </c>
      <c r="C16" s="7" t="s">
        <v>34</v>
      </c>
      <c r="D16" s="21" t="s">
        <v>35</v>
      </c>
      <c r="E16" s="6" t="s">
        <v>25</v>
      </c>
      <c r="F16" s="6">
        <f>'Memória de Cálculo'!F23</f>
        <v>219.57599999999999</v>
      </c>
      <c r="G16" s="28">
        <v>12.32</v>
      </c>
      <c r="H16" s="19">
        <f t="shared" si="1"/>
        <v>2705.17632</v>
      </c>
    </row>
    <row r="17" spans="1:8" ht="15" customHeight="1" x14ac:dyDescent="0.2">
      <c r="A17" s="158" t="s">
        <v>79</v>
      </c>
      <c r="B17" s="158"/>
      <c r="C17" s="158"/>
      <c r="D17" s="158"/>
      <c r="E17" s="158"/>
      <c r="F17" s="158"/>
      <c r="G17" s="158"/>
      <c r="H17" s="39">
        <f>SUM(H14:H16)</f>
        <v>25324.790719999997</v>
      </c>
    </row>
    <row r="18" spans="1:8" ht="15" customHeight="1" x14ac:dyDescent="0.2">
      <c r="A18" s="119" t="s">
        <v>179</v>
      </c>
      <c r="B18" s="120"/>
      <c r="C18" s="120"/>
      <c r="D18" s="120"/>
      <c r="E18" s="120"/>
      <c r="F18" s="120"/>
      <c r="G18" s="120"/>
      <c r="H18" s="121"/>
    </row>
    <row r="19" spans="1:8" ht="15" customHeight="1" x14ac:dyDescent="0.2">
      <c r="A19" s="9">
        <v>1</v>
      </c>
      <c r="B19" s="6" t="s">
        <v>249</v>
      </c>
      <c r="C19" s="7" t="s">
        <v>194</v>
      </c>
      <c r="D19" s="10" t="s">
        <v>195</v>
      </c>
      <c r="E19" s="6" t="s">
        <v>14</v>
      </c>
      <c r="F19" s="14">
        <f>'Memória de Cálculo'!F27</f>
        <v>23.757000000000001</v>
      </c>
      <c r="G19" s="19">
        <v>15.68</v>
      </c>
      <c r="H19" s="19">
        <f t="shared" si="1"/>
        <v>372.50976000000003</v>
      </c>
    </row>
    <row r="20" spans="1:8" ht="15" customHeight="1" x14ac:dyDescent="0.2">
      <c r="A20" s="9">
        <v>2</v>
      </c>
      <c r="B20" s="6" t="s">
        <v>246</v>
      </c>
      <c r="C20" s="7" t="s">
        <v>192</v>
      </c>
      <c r="D20" s="5" t="s">
        <v>193</v>
      </c>
      <c r="E20" s="6" t="s">
        <v>20</v>
      </c>
      <c r="F20" s="14">
        <f>'Memória de Cálculo'!F30</f>
        <v>316.76</v>
      </c>
      <c r="G20" s="19">
        <v>207.61</v>
      </c>
      <c r="H20" s="19">
        <f t="shared" si="1"/>
        <v>65762.543600000005</v>
      </c>
    </row>
    <row r="21" spans="1:8" ht="15" customHeight="1" x14ac:dyDescent="0.2">
      <c r="A21" s="9">
        <v>3</v>
      </c>
      <c r="B21" s="6" t="s">
        <v>249</v>
      </c>
      <c r="C21" s="7" t="s">
        <v>29</v>
      </c>
      <c r="D21" s="5" t="s">
        <v>59</v>
      </c>
      <c r="E21" s="6" t="s">
        <v>16</v>
      </c>
      <c r="F21" s="14">
        <f>'Memória de Cálculo'!F33</f>
        <v>19.005600000000001</v>
      </c>
      <c r="G21" s="29">
        <v>579</v>
      </c>
      <c r="H21" s="19">
        <f>F21*G21</f>
        <v>11004.242400000001</v>
      </c>
    </row>
    <row r="22" spans="1:8" ht="15" customHeight="1" x14ac:dyDescent="0.2">
      <c r="A22" s="9">
        <v>4</v>
      </c>
      <c r="B22" s="6" t="s">
        <v>249</v>
      </c>
      <c r="C22" s="7" t="s">
        <v>100</v>
      </c>
      <c r="D22" s="5" t="s">
        <v>102</v>
      </c>
      <c r="E22" s="6" t="s">
        <v>14</v>
      </c>
      <c r="F22" s="14">
        <f>'Memória de Cálculo'!F36</f>
        <v>190.05600000000001</v>
      </c>
      <c r="G22" s="19">
        <v>17.440000000000001</v>
      </c>
      <c r="H22" s="19">
        <f t="shared" ref="H22" si="2">F22*G22</f>
        <v>3314.5766400000002</v>
      </c>
    </row>
    <row r="23" spans="1:8" ht="15" customHeight="1" x14ac:dyDescent="0.2">
      <c r="A23" s="158" t="s">
        <v>250</v>
      </c>
      <c r="B23" s="158"/>
      <c r="C23" s="158"/>
      <c r="D23" s="158"/>
      <c r="E23" s="158"/>
      <c r="F23" s="158"/>
      <c r="G23" s="158"/>
      <c r="H23" s="39">
        <f>SUM(H19:H22)</f>
        <v>80453.872400000007</v>
      </c>
    </row>
    <row r="24" spans="1:8" ht="15.75" x14ac:dyDescent="0.2">
      <c r="A24" s="119" t="s">
        <v>52</v>
      </c>
      <c r="B24" s="120"/>
      <c r="C24" s="120"/>
      <c r="D24" s="120"/>
      <c r="E24" s="120"/>
      <c r="F24" s="120"/>
      <c r="G24" s="120"/>
      <c r="H24" s="121"/>
    </row>
    <row r="25" spans="1:8" ht="15.75" x14ac:dyDescent="0.2">
      <c r="A25" s="9">
        <v>1</v>
      </c>
      <c r="B25" s="6" t="s">
        <v>249</v>
      </c>
      <c r="C25" s="7" t="s">
        <v>194</v>
      </c>
      <c r="D25" s="10" t="s">
        <v>71</v>
      </c>
      <c r="E25" s="6" t="s">
        <v>16</v>
      </c>
      <c r="F25" s="14">
        <f>'Memória de Cálculo'!F40</f>
        <v>11.759999999999998</v>
      </c>
      <c r="G25" s="19">
        <v>15.68</v>
      </c>
      <c r="H25" s="19">
        <f>F25*G25</f>
        <v>184.39679999999996</v>
      </c>
    </row>
    <row r="26" spans="1:8" ht="15.75" x14ac:dyDescent="0.2">
      <c r="A26" s="9">
        <v>2</v>
      </c>
      <c r="B26" s="6" t="s">
        <v>249</v>
      </c>
      <c r="C26" s="7" t="s">
        <v>27</v>
      </c>
      <c r="D26" s="5" t="s">
        <v>28</v>
      </c>
      <c r="E26" s="6" t="s">
        <v>14</v>
      </c>
      <c r="F26" s="14">
        <f>'Memória de Cálculo'!F43</f>
        <v>12.319999999999999</v>
      </c>
      <c r="G26" s="19">
        <v>76.25</v>
      </c>
      <c r="H26" s="19">
        <f t="shared" ref="H26:H30" si="3">F26*G26</f>
        <v>939.39999999999986</v>
      </c>
    </row>
    <row r="27" spans="1:8" ht="15.75" x14ac:dyDescent="0.2">
      <c r="A27" s="9">
        <v>3</v>
      </c>
      <c r="B27" s="6" t="s">
        <v>249</v>
      </c>
      <c r="C27" s="7" t="s">
        <v>29</v>
      </c>
      <c r="D27" s="5" t="s">
        <v>30</v>
      </c>
      <c r="E27" s="6" t="s">
        <v>16</v>
      </c>
      <c r="F27" s="14">
        <f>'Memória de Cálculo'!F46</f>
        <v>1.5679999999999998</v>
      </c>
      <c r="G27" s="19">
        <v>579</v>
      </c>
      <c r="H27" s="19">
        <f t="shared" si="3"/>
        <v>907.87199999999996</v>
      </c>
    </row>
    <row r="28" spans="1:8" ht="15.75" x14ac:dyDescent="0.2">
      <c r="A28" s="9">
        <v>4</v>
      </c>
      <c r="B28" s="6" t="s">
        <v>249</v>
      </c>
      <c r="C28" s="7" t="s">
        <v>22</v>
      </c>
      <c r="D28" s="5" t="s">
        <v>23</v>
      </c>
      <c r="E28" s="6" t="s">
        <v>14</v>
      </c>
      <c r="F28" s="6">
        <f>'Memória de Cálculo'!F49</f>
        <v>22.4</v>
      </c>
      <c r="G28" s="19">
        <v>85.75</v>
      </c>
      <c r="H28" s="19">
        <f t="shared" si="3"/>
        <v>1920.8</v>
      </c>
    </row>
    <row r="29" spans="1:8" ht="15.75" x14ac:dyDescent="0.2">
      <c r="A29" s="9">
        <v>5</v>
      </c>
      <c r="B29" s="6" t="s">
        <v>249</v>
      </c>
      <c r="C29" s="7" t="s">
        <v>44</v>
      </c>
      <c r="D29" s="5" t="s">
        <v>43</v>
      </c>
      <c r="E29" s="6" t="s">
        <v>14</v>
      </c>
      <c r="F29" s="14">
        <f>'Memória de Cálculo'!F52</f>
        <v>22.066400000000002</v>
      </c>
      <c r="G29" s="19">
        <v>55.94</v>
      </c>
      <c r="H29" s="19">
        <f t="shared" si="3"/>
        <v>1234.3944160000001</v>
      </c>
    </row>
    <row r="30" spans="1:8" ht="15.75" x14ac:dyDescent="0.2">
      <c r="A30" s="9">
        <v>6</v>
      </c>
      <c r="B30" s="6" t="s">
        <v>249</v>
      </c>
      <c r="C30" s="7" t="s">
        <v>100</v>
      </c>
      <c r="D30" s="5" t="s">
        <v>102</v>
      </c>
      <c r="E30" s="6" t="s">
        <v>14</v>
      </c>
      <c r="F30" s="14">
        <f>'Memória de Cálculo'!F55</f>
        <v>22.066400000000002</v>
      </c>
      <c r="G30" s="19">
        <v>17.440000000000001</v>
      </c>
      <c r="H30" s="19">
        <f t="shared" si="3"/>
        <v>384.83801600000004</v>
      </c>
    </row>
    <row r="31" spans="1:8" ht="15.75" x14ac:dyDescent="0.2">
      <c r="A31" s="153" t="s">
        <v>75</v>
      </c>
      <c r="B31" s="154"/>
      <c r="C31" s="154"/>
      <c r="D31" s="154"/>
      <c r="E31" s="154"/>
      <c r="F31" s="154"/>
      <c r="G31" s="155"/>
      <c r="H31" s="27">
        <f>SUM(H25:H30)</f>
        <v>5571.7012319999994</v>
      </c>
    </row>
    <row r="32" spans="1:8" ht="15.75" x14ac:dyDescent="0.2">
      <c r="A32" s="119" t="s">
        <v>0</v>
      </c>
      <c r="B32" s="120"/>
      <c r="C32" s="120"/>
      <c r="D32" s="120"/>
      <c r="E32" s="120"/>
      <c r="F32" s="120"/>
      <c r="G32" s="120"/>
      <c r="H32" s="121"/>
    </row>
    <row r="33" spans="1:8" ht="15.75" x14ac:dyDescent="0.2">
      <c r="A33" s="9">
        <v>1</v>
      </c>
      <c r="B33" s="6" t="s">
        <v>249</v>
      </c>
      <c r="C33" s="7" t="s">
        <v>22</v>
      </c>
      <c r="D33" s="5" t="s">
        <v>31</v>
      </c>
      <c r="E33" s="6" t="s">
        <v>14</v>
      </c>
      <c r="F33" s="14">
        <f>'Memória de Cálculo'!F59</f>
        <v>868.06090000000006</v>
      </c>
      <c r="G33" s="19">
        <v>85.75</v>
      </c>
      <c r="H33" s="19">
        <f>F33*G33</f>
        <v>74436.222175000003</v>
      </c>
    </row>
    <row r="34" spans="1:8" ht="15.75" x14ac:dyDescent="0.2">
      <c r="A34" s="9">
        <v>2</v>
      </c>
      <c r="B34" s="6" t="s">
        <v>249</v>
      </c>
      <c r="C34" s="7" t="s">
        <v>24</v>
      </c>
      <c r="D34" s="5" t="s">
        <v>26</v>
      </c>
      <c r="E34" s="6" t="s">
        <v>25</v>
      </c>
      <c r="F34" s="14">
        <f>'Memória de Cálculo'!F62</f>
        <v>329.83180000000004</v>
      </c>
      <c r="G34" s="19">
        <v>12.17</v>
      </c>
      <c r="H34" s="19">
        <f t="shared" ref="H34:H43" si="4">F34*G34</f>
        <v>4014.0530060000006</v>
      </c>
    </row>
    <row r="35" spans="1:8" ht="15.75" x14ac:dyDescent="0.2">
      <c r="A35" s="9">
        <v>3</v>
      </c>
      <c r="B35" s="6" t="s">
        <v>249</v>
      </c>
      <c r="C35" s="7" t="s">
        <v>29</v>
      </c>
      <c r="D35" s="5" t="s">
        <v>30</v>
      </c>
      <c r="E35" s="6" t="s">
        <v>16</v>
      </c>
      <c r="F35" s="14">
        <f>'Memória de Cálculo'!F65</f>
        <v>2.2176792400000003</v>
      </c>
      <c r="G35" s="19">
        <v>579</v>
      </c>
      <c r="H35" s="19">
        <f t="shared" si="4"/>
        <v>1284.0362799600002</v>
      </c>
    </row>
    <row r="36" spans="1:8" ht="15.75" x14ac:dyDescent="0.2">
      <c r="A36" s="9">
        <v>4</v>
      </c>
      <c r="B36" s="6" t="s">
        <v>249</v>
      </c>
      <c r="C36" s="7" t="s">
        <v>27</v>
      </c>
      <c r="D36" s="5" t="s">
        <v>28</v>
      </c>
      <c r="E36" s="6" t="s">
        <v>14</v>
      </c>
      <c r="F36" s="14">
        <f>'Memória de Cálculo'!F68</f>
        <v>190.8168</v>
      </c>
      <c r="G36" s="19">
        <v>76.25</v>
      </c>
      <c r="H36" s="19">
        <f t="shared" si="4"/>
        <v>14549.781000000001</v>
      </c>
    </row>
    <row r="37" spans="1:8" ht="15.75" x14ac:dyDescent="0.2">
      <c r="A37" s="9">
        <v>5</v>
      </c>
      <c r="B37" s="6" t="s">
        <v>246</v>
      </c>
      <c r="C37" s="7" t="s">
        <v>32</v>
      </c>
      <c r="D37" s="5" t="s">
        <v>33</v>
      </c>
      <c r="E37" s="6" t="s">
        <v>14</v>
      </c>
      <c r="F37" s="14">
        <f>'Memória de Cálculo'!F71</f>
        <v>935.06939999999997</v>
      </c>
      <c r="G37" s="19">
        <v>182.46</v>
      </c>
      <c r="H37" s="19">
        <f t="shared" si="4"/>
        <v>170612.762724</v>
      </c>
    </row>
    <row r="38" spans="1:8" ht="15.75" x14ac:dyDescent="0.2">
      <c r="A38" s="9">
        <v>6</v>
      </c>
      <c r="B38" s="6" t="s">
        <v>249</v>
      </c>
      <c r="C38" s="7" t="s">
        <v>34</v>
      </c>
      <c r="D38" s="5" t="s">
        <v>35</v>
      </c>
      <c r="E38" s="6" t="s">
        <v>25</v>
      </c>
      <c r="F38" s="14">
        <f>'Memória de Cálculo'!F74</f>
        <v>1836.0236</v>
      </c>
      <c r="G38" s="19">
        <v>12.32</v>
      </c>
      <c r="H38" s="19">
        <f t="shared" si="4"/>
        <v>22619.810752000001</v>
      </c>
    </row>
    <row r="39" spans="1:8" ht="15.75" x14ac:dyDescent="0.2">
      <c r="A39" s="9">
        <v>7</v>
      </c>
      <c r="B39" s="6" t="s">
        <v>249</v>
      </c>
      <c r="C39" s="7" t="s">
        <v>29</v>
      </c>
      <c r="D39" s="5" t="s">
        <v>30</v>
      </c>
      <c r="E39" s="6" t="s">
        <v>16</v>
      </c>
      <c r="F39" s="14">
        <f>'Memória de Cálculo'!F77</f>
        <v>93.506940000000014</v>
      </c>
      <c r="G39" s="19">
        <v>579</v>
      </c>
      <c r="H39" s="19">
        <f t="shared" si="4"/>
        <v>54140.518260000012</v>
      </c>
    </row>
    <row r="40" spans="1:8" ht="15.75" x14ac:dyDescent="0.2">
      <c r="A40" s="9">
        <v>8</v>
      </c>
      <c r="B40" s="6" t="s">
        <v>249</v>
      </c>
      <c r="C40" s="7" t="s">
        <v>44</v>
      </c>
      <c r="D40" s="5" t="s">
        <v>43</v>
      </c>
      <c r="E40" s="6" t="s">
        <v>14</v>
      </c>
      <c r="F40" s="14">
        <f>'Memória de Cálculo'!F80</f>
        <v>2084.1823999999997</v>
      </c>
      <c r="G40" s="19">
        <v>55.94</v>
      </c>
      <c r="H40" s="19">
        <f>F40*G40</f>
        <v>116589.16345599998</v>
      </c>
    </row>
    <row r="41" spans="1:8" ht="15.75" x14ac:dyDescent="0.2">
      <c r="A41" s="9">
        <v>9</v>
      </c>
      <c r="B41" s="6" t="s">
        <v>249</v>
      </c>
      <c r="C41" s="7" t="s">
        <v>37</v>
      </c>
      <c r="D41" s="5" t="s">
        <v>40</v>
      </c>
      <c r="E41" s="6" t="s">
        <v>20</v>
      </c>
      <c r="F41" s="6">
        <f>'Memória de Cálculo'!F83</f>
        <v>395.98</v>
      </c>
      <c r="G41" s="19">
        <v>46.96</v>
      </c>
      <c r="H41" s="19">
        <f t="shared" si="4"/>
        <v>18595.220800000003</v>
      </c>
    </row>
    <row r="42" spans="1:8" ht="15.75" x14ac:dyDescent="0.2">
      <c r="A42" s="9">
        <v>10</v>
      </c>
      <c r="B42" s="6" t="s">
        <v>246</v>
      </c>
      <c r="C42" s="7" t="s">
        <v>38</v>
      </c>
      <c r="D42" s="5" t="s">
        <v>41</v>
      </c>
      <c r="E42" s="6" t="s">
        <v>9</v>
      </c>
      <c r="F42" s="6">
        <f>'Memória de Cálculo'!F86</f>
        <v>370</v>
      </c>
      <c r="G42" s="19">
        <v>19.77</v>
      </c>
      <c r="H42" s="19">
        <f t="shared" si="4"/>
        <v>7314.9</v>
      </c>
    </row>
    <row r="43" spans="1:8" ht="15.75" x14ac:dyDescent="0.2">
      <c r="A43" s="9">
        <v>11</v>
      </c>
      <c r="B43" s="6" t="s">
        <v>246</v>
      </c>
      <c r="C43" s="7" t="s">
        <v>39</v>
      </c>
      <c r="D43" s="5" t="s">
        <v>42</v>
      </c>
      <c r="E43" s="6" t="s">
        <v>9</v>
      </c>
      <c r="F43" s="6">
        <f>'Memória de Cálculo'!F89</f>
        <v>370</v>
      </c>
      <c r="G43" s="19">
        <v>26.18</v>
      </c>
      <c r="H43" s="19">
        <f t="shared" si="4"/>
        <v>9686.6</v>
      </c>
    </row>
    <row r="44" spans="1:8" ht="15.75" x14ac:dyDescent="0.2">
      <c r="A44" s="153" t="s">
        <v>76</v>
      </c>
      <c r="B44" s="154"/>
      <c r="C44" s="154"/>
      <c r="D44" s="154"/>
      <c r="E44" s="154"/>
      <c r="F44" s="154"/>
      <c r="G44" s="155"/>
      <c r="H44" s="27">
        <f>SUM(H33:H43)</f>
        <v>493843.06845296005</v>
      </c>
    </row>
    <row r="45" spans="1:8" ht="15.75" x14ac:dyDescent="0.25">
      <c r="A45" s="150" t="s">
        <v>36</v>
      </c>
      <c r="B45" s="151"/>
      <c r="C45" s="151"/>
      <c r="D45" s="151"/>
      <c r="E45" s="151"/>
      <c r="F45" s="151"/>
      <c r="G45" s="151"/>
      <c r="H45" s="152"/>
    </row>
    <row r="46" spans="1:8" ht="15.75" x14ac:dyDescent="0.2">
      <c r="A46" s="9">
        <v>1</v>
      </c>
      <c r="B46" s="6" t="s">
        <v>249</v>
      </c>
      <c r="C46" s="7" t="s">
        <v>81</v>
      </c>
      <c r="D46" s="5" t="s">
        <v>82</v>
      </c>
      <c r="E46" s="6" t="s">
        <v>14</v>
      </c>
      <c r="F46" s="14">
        <f>'Memória de Cálculo'!F93</f>
        <v>317.1019</v>
      </c>
      <c r="G46" s="19">
        <v>15.61</v>
      </c>
      <c r="H46" s="19">
        <f>F46*G46</f>
        <v>4949.9606589999994</v>
      </c>
    </row>
    <row r="47" spans="1:8" ht="15.75" x14ac:dyDescent="0.2">
      <c r="A47" s="9">
        <v>2</v>
      </c>
      <c r="B47" s="6" t="s">
        <v>249</v>
      </c>
      <c r="C47" s="7" t="s">
        <v>45</v>
      </c>
      <c r="D47" s="5" t="s">
        <v>48</v>
      </c>
      <c r="E47" s="6" t="s">
        <v>14</v>
      </c>
      <c r="F47" s="6">
        <f>'Memória de Cálculo'!F96</f>
        <v>317.1019</v>
      </c>
      <c r="G47" s="19">
        <v>44.85</v>
      </c>
      <c r="H47" s="19">
        <f t="shared" ref="H47:H49" si="5">F47*G47</f>
        <v>14222.020215</v>
      </c>
    </row>
    <row r="48" spans="1:8" ht="15.75" x14ac:dyDescent="0.2">
      <c r="A48" s="9">
        <v>3</v>
      </c>
      <c r="B48" s="6" t="s">
        <v>249</v>
      </c>
      <c r="C48" s="7" t="s">
        <v>46</v>
      </c>
      <c r="D48" s="5" t="s">
        <v>49</v>
      </c>
      <c r="E48" s="6" t="s">
        <v>14</v>
      </c>
      <c r="F48" s="6">
        <f>'Memória de Cálculo'!F99</f>
        <v>317.1019</v>
      </c>
      <c r="G48" s="19">
        <v>25.9</v>
      </c>
      <c r="H48" s="19">
        <f t="shared" si="5"/>
        <v>8212.9392100000005</v>
      </c>
    </row>
    <row r="49" spans="1:16" ht="15.75" x14ac:dyDescent="0.2">
      <c r="A49" s="9">
        <v>4</v>
      </c>
      <c r="B49" s="6" t="s">
        <v>249</v>
      </c>
      <c r="C49" s="7" t="s">
        <v>47</v>
      </c>
      <c r="D49" s="5" t="s">
        <v>50</v>
      </c>
      <c r="E49" s="6" t="s">
        <v>14</v>
      </c>
      <c r="F49" s="14">
        <f>'Memória de Cálculo'!F102</f>
        <v>462.82</v>
      </c>
      <c r="G49" s="19">
        <v>12.35</v>
      </c>
      <c r="H49" s="19">
        <f t="shared" si="5"/>
        <v>5715.8269999999993</v>
      </c>
    </row>
    <row r="50" spans="1:16" ht="15.75" x14ac:dyDescent="0.2">
      <c r="A50" s="158" t="s">
        <v>77</v>
      </c>
      <c r="B50" s="158"/>
      <c r="C50" s="158"/>
      <c r="D50" s="158"/>
      <c r="E50" s="158"/>
      <c r="F50" s="158"/>
      <c r="G50" s="158"/>
      <c r="H50" s="27">
        <f>SUM(H46:H49)</f>
        <v>33100.747084000002</v>
      </c>
    </row>
    <row r="51" spans="1:16" ht="15.6" customHeight="1" x14ac:dyDescent="0.2">
      <c r="A51" s="97" t="s">
        <v>244</v>
      </c>
      <c r="B51" s="97"/>
      <c r="C51" s="97"/>
      <c r="D51" s="97"/>
      <c r="E51" s="97"/>
      <c r="F51" s="158" t="s">
        <v>73</v>
      </c>
      <c r="G51" s="158"/>
      <c r="H51" s="27">
        <f>H12+H17+H23+H31+H44+H50</f>
        <v>643790.11468896002</v>
      </c>
      <c r="I51" s="24"/>
    </row>
    <row r="52" spans="1:16" ht="15.75" x14ac:dyDescent="0.2">
      <c r="A52" s="98"/>
      <c r="B52" s="98"/>
      <c r="C52" s="98"/>
      <c r="D52" s="98"/>
      <c r="E52" s="98"/>
      <c r="F52" s="158" t="s">
        <v>62</v>
      </c>
      <c r="G52" s="158"/>
      <c r="H52" s="26">
        <f>BDI!C12</f>
        <v>0.27184605041410159</v>
      </c>
      <c r="I52" s="25"/>
    </row>
    <row r="53" spans="1:16" ht="15.75" x14ac:dyDescent="0.2">
      <c r="A53" s="98"/>
      <c r="B53" s="98"/>
      <c r="C53" s="98"/>
      <c r="D53" s="98"/>
      <c r="E53" s="98"/>
      <c r="F53" s="158" t="s">
        <v>63</v>
      </c>
      <c r="G53" s="158"/>
      <c r="H53" s="27">
        <f>H51*(1+H52)</f>
        <v>818801.91466279526</v>
      </c>
      <c r="I53" s="24"/>
    </row>
    <row r="54" spans="1:16" x14ac:dyDescent="0.2">
      <c r="A54" s="98"/>
      <c r="B54" s="98"/>
      <c r="C54" s="98"/>
      <c r="D54" s="98"/>
      <c r="E54" s="98"/>
    </row>
    <row r="55" spans="1:16" x14ac:dyDescent="0.2">
      <c r="A55" s="98"/>
      <c r="B55" s="98"/>
      <c r="C55" s="98"/>
      <c r="D55" s="98"/>
      <c r="E55" s="98"/>
    </row>
    <row r="56" spans="1:16" x14ac:dyDescent="0.2">
      <c r="A56" s="98"/>
      <c r="B56" s="98"/>
      <c r="C56" s="98"/>
      <c r="D56" s="98"/>
      <c r="E56" s="98"/>
    </row>
    <row r="57" spans="1:16" x14ac:dyDescent="0.2">
      <c r="A57" s="98"/>
      <c r="B57" s="98"/>
      <c r="C57" s="98"/>
      <c r="D57" s="98"/>
      <c r="E57" s="98"/>
    </row>
    <row r="58" spans="1:16" x14ac:dyDescent="0.2">
      <c r="A58" s="98"/>
      <c r="B58" s="98"/>
      <c r="C58" s="98"/>
      <c r="D58" s="98"/>
      <c r="E58" s="98"/>
    </row>
    <row r="59" spans="1:16" ht="15" customHeight="1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</row>
    <row r="60" spans="1:16" ht="15.75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</row>
    <row r="61" spans="1:16" ht="15.75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</row>
    <row r="62" spans="1:16" ht="15.75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</row>
    <row r="63" spans="1:16" ht="15.75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</row>
    <row r="64" spans="1:16" ht="15.75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</row>
    <row r="65" spans="1:16" ht="15.75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</row>
    <row r="66" spans="1:16" ht="15.75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</row>
    <row r="67" spans="1:16" ht="15.75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</sheetData>
  <mergeCells count="21">
    <mergeCell ref="A51:E58"/>
    <mergeCell ref="A9:H9"/>
    <mergeCell ref="A1:C7"/>
    <mergeCell ref="D1:D2"/>
    <mergeCell ref="E1:H7"/>
    <mergeCell ref="D3:D4"/>
    <mergeCell ref="D5:D6"/>
    <mergeCell ref="A50:G50"/>
    <mergeCell ref="F53:G53"/>
    <mergeCell ref="A12:G12"/>
    <mergeCell ref="F51:G51"/>
    <mergeCell ref="F52:G52"/>
    <mergeCell ref="A13:H13"/>
    <mergeCell ref="A18:H18"/>
    <mergeCell ref="A17:G17"/>
    <mergeCell ref="A23:G23"/>
    <mergeCell ref="A24:H24"/>
    <mergeCell ref="A32:H32"/>
    <mergeCell ref="A45:H45"/>
    <mergeCell ref="A31:G31"/>
    <mergeCell ref="A44:G44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5">
    <pageSetUpPr fitToPage="1"/>
  </sheetPr>
  <dimension ref="A1:H110"/>
  <sheetViews>
    <sheetView showGridLines="0" topLeftCell="A4" zoomScale="70" zoomScaleNormal="70" workbookViewId="0">
      <selection activeCell="A50" sqref="A50:G50"/>
    </sheetView>
  </sheetViews>
  <sheetFormatPr defaultRowHeight="15" x14ac:dyDescent="0.25"/>
  <cols>
    <col min="1" max="1" width="11.28515625" customWidth="1"/>
    <col min="2" max="2" width="15.7109375" style="12" bestFit="1" customWidth="1"/>
    <col min="3" max="3" width="11.28515625" customWidth="1"/>
    <col min="4" max="4" width="171.28515625" bestFit="1" customWidth="1"/>
    <col min="5" max="5" width="10.140625" bestFit="1" customWidth="1"/>
    <col min="6" max="6" width="13.85546875" bestFit="1" customWidth="1"/>
    <col min="7" max="7" width="13.140625" bestFit="1" customWidth="1"/>
    <col min="8" max="8" width="19.7109375" bestFit="1" customWidth="1"/>
  </cols>
  <sheetData>
    <row r="1" spans="1:8" ht="15" customHeight="1" x14ac:dyDescent="0.25">
      <c r="A1" s="156"/>
      <c r="B1" s="156"/>
      <c r="C1" s="156"/>
      <c r="D1" s="157" t="s">
        <v>1</v>
      </c>
      <c r="E1" s="157" t="s">
        <v>248</v>
      </c>
      <c r="F1" s="157"/>
      <c r="G1" s="157"/>
      <c r="H1" s="157"/>
    </row>
    <row r="2" spans="1:8" ht="15" customHeight="1" x14ac:dyDescent="0.25">
      <c r="A2" s="156"/>
      <c r="B2" s="156"/>
      <c r="C2" s="156"/>
      <c r="D2" s="157"/>
      <c r="E2" s="157"/>
      <c r="F2" s="157"/>
      <c r="G2" s="157"/>
      <c r="H2" s="157"/>
    </row>
    <row r="3" spans="1:8" ht="15" customHeight="1" x14ac:dyDescent="0.25">
      <c r="A3" s="156"/>
      <c r="B3" s="156"/>
      <c r="C3" s="156"/>
      <c r="D3" s="157" t="s">
        <v>2</v>
      </c>
      <c r="E3" s="157"/>
      <c r="F3" s="157"/>
      <c r="G3" s="157"/>
      <c r="H3" s="157"/>
    </row>
    <row r="4" spans="1:8" ht="15" customHeight="1" x14ac:dyDescent="0.25">
      <c r="A4" s="156"/>
      <c r="B4" s="156"/>
      <c r="C4" s="156"/>
      <c r="D4" s="157"/>
      <c r="E4" s="157"/>
      <c r="F4" s="157"/>
      <c r="G4" s="157"/>
      <c r="H4" s="157"/>
    </row>
    <row r="5" spans="1:8" ht="15" customHeight="1" x14ac:dyDescent="0.25">
      <c r="A5" s="156"/>
      <c r="B5" s="156"/>
      <c r="C5" s="156"/>
      <c r="D5" s="157" t="s">
        <v>3</v>
      </c>
      <c r="E5" s="157"/>
      <c r="F5" s="157"/>
      <c r="G5" s="157"/>
      <c r="H5" s="157"/>
    </row>
    <row r="6" spans="1:8" ht="15" customHeight="1" x14ac:dyDescent="0.25">
      <c r="A6" s="156"/>
      <c r="B6" s="156"/>
      <c r="C6" s="156"/>
      <c r="D6" s="157"/>
      <c r="E6" s="157"/>
      <c r="F6" s="157"/>
      <c r="G6" s="157"/>
      <c r="H6" s="157"/>
    </row>
    <row r="7" spans="1:8" ht="15" customHeight="1" x14ac:dyDescent="0.25">
      <c r="A7" s="156"/>
      <c r="B7" s="156"/>
      <c r="C7" s="156"/>
      <c r="D7" s="20" t="s">
        <v>4</v>
      </c>
      <c r="E7" s="157"/>
      <c r="F7" s="157"/>
      <c r="G7" s="157"/>
      <c r="H7" s="157"/>
    </row>
    <row r="8" spans="1:8" ht="15" customHeight="1" x14ac:dyDescent="0.25">
      <c r="A8" s="9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72</v>
      </c>
      <c r="H8" s="9" t="s">
        <v>61</v>
      </c>
    </row>
    <row r="9" spans="1:8" ht="15" customHeight="1" x14ac:dyDescent="0.25">
      <c r="A9" s="150" t="s">
        <v>11</v>
      </c>
      <c r="B9" s="151"/>
      <c r="C9" s="151"/>
      <c r="D9" s="151"/>
      <c r="E9" s="151"/>
      <c r="F9" s="151"/>
      <c r="G9" s="151"/>
      <c r="H9" s="152"/>
    </row>
    <row r="10" spans="1:8" ht="15" customHeight="1" x14ac:dyDescent="0.25">
      <c r="A10" s="9">
        <v>1</v>
      </c>
      <c r="B10" s="6" t="s">
        <v>249</v>
      </c>
      <c r="C10" s="7" t="s">
        <v>12</v>
      </c>
      <c r="D10" s="5" t="s">
        <v>13</v>
      </c>
      <c r="E10" s="6" t="s">
        <v>14</v>
      </c>
      <c r="F10" s="6">
        <f>'Memória de Cálculo'!F10</f>
        <v>8</v>
      </c>
      <c r="G10" s="19">
        <v>394.76</v>
      </c>
      <c r="H10" s="19">
        <f>F10*G10</f>
        <v>3158.08</v>
      </c>
    </row>
    <row r="11" spans="1:8" ht="15" customHeight="1" x14ac:dyDescent="0.25">
      <c r="A11" s="9">
        <v>2</v>
      </c>
      <c r="B11" s="6" t="s">
        <v>249</v>
      </c>
      <c r="C11" s="7" t="s">
        <v>17</v>
      </c>
      <c r="D11" s="5" t="s">
        <v>18</v>
      </c>
      <c r="E11" s="6" t="s">
        <v>14</v>
      </c>
      <c r="F11" s="14">
        <f>'Memória de Cálculo'!F13</f>
        <v>462.82</v>
      </c>
      <c r="G11" s="19">
        <v>5.76</v>
      </c>
      <c r="H11" s="19">
        <f t="shared" ref="H11" si="0">F11*G11</f>
        <v>2665.8431999999998</v>
      </c>
    </row>
    <row r="12" spans="1:8" ht="15" customHeight="1" x14ac:dyDescent="0.25">
      <c r="A12" s="153" t="s">
        <v>74</v>
      </c>
      <c r="B12" s="154"/>
      <c r="C12" s="154"/>
      <c r="D12" s="154"/>
      <c r="E12" s="154"/>
      <c r="F12" s="154"/>
      <c r="G12" s="155"/>
      <c r="H12" s="27">
        <f>SUM(H10:H11)</f>
        <v>5823.9231999999993</v>
      </c>
    </row>
    <row r="13" spans="1:8" ht="15" customHeight="1" x14ac:dyDescent="0.25">
      <c r="A13" s="119" t="s">
        <v>78</v>
      </c>
      <c r="B13" s="120"/>
      <c r="C13" s="120"/>
      <c r="D13" s="120"/>
      <c r="E13" s="120"/>
      <c r="F13" s="120"/>
      <c r="G13" s="120"/>
      <c r="H13" s="121"/>
    </row>
    <row r="14" spans="1:8" ht="15" customHeight="1" x14ac:dyDescent="0.25">
      <c r="A14" s="9">
        <v>1</v>
      </c>
      <c r="B14" s="6" t="s">
        <v>246</v>
      </c>
      <c r="C14" s="7" t="s">
        <v>64</v>
      </c>
      <c r="D14" s="5" t="s">
        <v>65</v>
      </c>
      <c r="E14" s="11" t="s">
        <v>20</v>
      </c>
      <c r="F14" s="6">
        <f>'Memória de Cálculo'!F17</f>
        <v>312</v>
      </c>
      <c r="G14" s="28">
        <v>62.46</v>
      </c>
      <c r="H14" s="19">
        <f t="shared" ref="H14:H16" si="1">F14*G14</f>
        <v>19487.52</v>
      </c>
    </row>
    <row r="15" spans="1:8" ht="15" customHeight="1" x14ac:dyDescent="0.25">
      <c r="A15" s="9">
        <v>2</v>
      </c>
      <c r="B15" s="6" t="s">
        <v>249</v>
      </c>
      <c r="C15" s="7" t="s">
        <v>24</v>
      </c>
      <c r="D15" s="21" t="s">
        <v>26</v>
      </c>
      <c r="E15" s="6" t="s">
        <v>25</v>
      </c>
      <c r="F15" s="14">
        <f>'Memória de Cálculo'!F20</f>
        <v>356.32</v>
      </c>
      <c r="G15" s="19">
        <v>12.61</v>
      </c>
      <c r="H15" s="19">
        <f t="shared" si="1"/>
        <v>4493.1952000000001</v>
      </c>
    </row>
    <row r="16" spans="1:8" ht="15" customHeight="1" x14ac:dyDescent="0.25">
      <c r="A16" s="9">
        <v>3</v>
      </c>
      <c r="B16" s="6" t="s">
        <v>249</v>
      </c>
      <c r="C16" s="7" t="s">
        <v>34</v>
      </c>
      <c r="D16" s="21" t="s">
        <v>35</v>
      </c>
      <c r="E16" s="6" t="s">
        <v>25</v>
      </c>
      <c r="F16" s="6">
        <f>'Memória de Cálculo'!F23</f>
        <v>219.57599999999999</v>
      </c>
      <c r="G16" s="28">
        <v>12.77</v>
      </c>
      <c r="H16" s="19">
        <f t="shared" si="1"/>
        <v>2803.9855199999997</v>
      </c>
    </row>
    <row r="17" spans="1:8" ht="15" customHeight="1" x14ac:dyDescent="0.25">
      <c r="A17" s="158" t="s">
        <v>79</v>
      </c>
      <c r="B17" s="158"/>
      <c r="C17" s="158"/>
      <c r="D17" s="158"/>
      <c r="E17" s="158"/>
      <c r="F17" s="158"/>
      <c r="G17" s="158"/>
      <c r="H17" s="39">
        <f>SUM(H14:H16)</f>
        <v>26784.700719999997</v>
      </c>
    </row>
    <row r="18" spans="1:8" ht="15" customHeight="1" x14ac:dyDescent="0.25">
      <c r="A18" s="119" t="s">
        <v>179</v>
      </c>
      <c r="B18" s="120"/>
      <c r="C18" s="120"/>
      <c r="D18" s="120"/>
      <c r="E18" s="120"/>
      <c r="F18" s="120"/>
      <c r="G18" s="120"/>
      <c r="H18" s="121"/>
    </row>
    <row r="19" spans="1:8" ht="15" customHeight="1" x14ac:dyDescent="0.25">
      <c r="A19" s="9">
        <v>1</v>
      </c>
      <c r="B19" s="6" t="s">
        <v>249</v>
      </c>
      <c r="C19" s="7" t="s">
        <v>194</v>
      </c>
      <c r="D19" s="10" t="s">
        <v>195</v>
      </c>
      <c r="E19" s="6" t="s">
        <v>14</v>
      </c>
      <c r="F19" s="14">
        <f>'Memória de Cálculo'!F27</f>
        <v>23.757000000000001</v>
      </c>
      <c r="G19" s="19">
        <v>16.12</v>
      </c>
      <c r="H19" s="19">
        <f t="shared" ref="H19:H20" si="2">F19*G19</f>
        <v>382.96284000000003</v>
      </c>
    </row>
    <row r="20" spans="1:8" ht="15" customHeight="1" x14ac:dyDescent="0.25">
      <c r="A20" s="9">
        <v>2</v>
      </c>
      <c r="B20" s="6" t="s">
        <v>246</v>
      </c>
      <c r="C20" s="7" t="s">
        <v>192</v>
      </c>
      <c r="D20" s="5" t="s">
        <v>193</v>
      </c>
      <c r="E20" s="6" t="s">
        <v>20</v>
      </c>
      <c r="F20" s="14">
        <f>'Memória de Cálculo'!F30</f>
        <v>316.76</v>
      </c>
      <c r="G20" s="19">
        <v>214.64</v>
      </c>
      <c r="H20" s="19">
        <f t="shared" si="2"/>
        <v>67989.366399999999</v>
      </c>
    </row>
    <row r="21" spans="1:8" ht="15" customHeight="1" x14ac:dyDescent="0.25">
      <c r="A21" s="9">
        <v>3</v>
      </c>
      <c r="B21" s="6" t="s">
        <v>249</v>
      </c>
      <c r="C21" s="7" t="s">
        <v>29</v>
      </c>
      <c r="D21" s="5" t="s">
        <v>59</v>
      </c>
      <c r="E21" s="6" t="s">
        <v>16</v>
      </c>
      <c r="F21" s="14">
        <f>'Memória de Cálculo'!F33</f>
        <v>19.005600000000001</v>
      </c>
      <c r="G21" s="29">
        <v>597.17999999999995</v>
      </c>
      <c r="H21" s="19">
        <f>F21*G21</f>
        <v>11349.764208000001</v>
      </c>
    </row>
    <row r="22" spans="1:8" ht="15" customHeight="1" x14ac:dyDescent="0.25">
      <c r="A22" s="9">
        <v>4</v>
      </c>
      <c r="B22" s="6" t="s">
        <v>249</v>
      </c>
      <c r="C22" s="7" t="s">
        <v>100</v>
      </c>
      <c r="D22" s="5" t="s">
        <v>102</v>
      </c>
      <c r="E22" s="6" t="s">
        <v>14</v>
      </c>
      <c r="F22" s="14">
        <f>'Memória de Cálculo'!F36</f>
        <v>190.05600000000001</v>
      </c>
      <c r="G22" s="19">
        <v>18.18</v>
      </c>
      <c r="H22" s="19">
        <f t="shared" ref="H22" si="3">F22*G22</f>
        <v>3455.2180800000001</v>
      </c>
    </row>
    <row r="23" spans="1:8" ht="15" customHeight="1" x14ac:dyDescent="0.25">
      <c r="A23" s="158" t="s">
        <v>250</v>
      </c>
      <c r="B23" s="158"/>
      <c r="C23" s="158"/>
      <c r="D23" s="158"/>
      <c r="E23" s="158"/>
      <c r="F23" s="158"/>
      <c r="G23" s="158"/>
      <c r="H23" s="39">
        <f>SUM(H19:H22)</f>
        <v>83177.311528000006</v>
      </c>
    </row>
    <row r="24" spans="1:8" ht="15" customHeight="1" x14ac:dyDescent="0.25">
      <c r="A24" s="119" t="s">
        <v>52</v>
      </c>
      <c r="B24" s="120"/>
      <c r="C24" s="120"/>
      <c r="D24" s="120"/>
      <c r="E24" s="120"/>
      <c r="F24" s="120"/>
      <c r="G24" s="120"/>
      <c r="H24" s="121"/>
    </row>
    <row r="25" spans="1:8" ht="15" customHeight="1" x14ac:dyDescent="0.25">
      <c r="A25" s="9">
        <v>1</v>
      </c>
      <c r="B25" s="6" t="s">
        <v>249</v>
      </c>
      <c r="C25" s="7" t="s">
        <v>70</v>
      </c>
      <c r="D25" s="10" t="s">
        <v>71</v>
      </c>
      <c r="E25" s="6" t="s">
        <v>16</v>
      </c>
      <c r="F25" s="14">
        <f>'Memória de Cálculo'!F40</f>
        <v>11.759999999999998</v>
      </c>
      <c r="G25" s="19">
        <v>57.63</v>
      </c>
      <c r="H25" s="19">
        <f>F25*G25</f>
        <v>677.72879999999986</v>
      </c>
    </row>
    <row r="26" spans="1:8" ht="15" customHeight="1" x14ac:dyDescent="0.25">
      <c r="A26" s="9">
        <v>2</v>
      </c>
      <c r="B26" s="6" t="s">
        <v>249</v>
      </c>
      <c r="C26" s="7" t="s">
        <v>27</v>
      </c>
      <c r="D26" s="5" t="s">
        <v>28</v>
      </c>
      <c r="E26" s="6" t="s">
        <v>14</v>
      </c>
      <c r="F26" s="14">
        <f>'Memória de Cálculo'!F43</f>
        <v>12.319999999999999</v>
      </c>
      <c r="G26" s="19">
        <v>82.88</v>
      </c>
      <c r="H26" s="19">
        <f t="shared" ref="H26:H30" si="4">F26*G26</f>
        <v>1021.0815999999999</v>
      </c>
    </row>
    <row r="27" spans="1:8" ht="15" customHeight="1" x14ac:dyDescent="0.25">
      <c r="A27" s="9">
        <v>3</v>
      </c>
      <c r="B27" s="6" t="s">
        <v>249</v>
      </c>
      <c r="C27" s="63" t="s">
        <v>29</v>
      </c>
      <c r="D27" s="5" t="s">
        <v>30</v>
      </c>
      <c r="E27" s="6" t="s">
        <v>16</v>
      </c>
      <c r="F27" s="14">
        <f>'Memória de Cálculo'!F46</f>
        <v>1.5679999999999998</v>
      </c>
      <c r="G27" s="19">
        <v>597.17999999999995</v>
      </c>
      <c r="H27" s="19">
        <f t="shared" si="4"/>
        <v>936.37823999999978</v>
      </c>
    </row>
    <row r="28" spans="1:8" ht="15" customHeight="1" x14ac:dyDescent="0.25">
      <c r="A28" s="9">
        <v>4</v>
      </c>
      <c r="B28" s="6" t="s">
        <v>249</v>
      </c>
      <c r="C28" s="7" t="s">
        <v>22</v>
      </c>
      <c r="D28" s="5" t="s">
        <v>23</v>
      </c>
      <c r="E28" s="6" t="s">
        <v>14</v>
      </c>
      <c r="F28" s="6">
        <f>'Memória de Cálculo'!F49</f>
        <v>22.4</v>
      </c>
      <c r="G28" s="19">
        <v>89.88</v>
      </c>
      <c r="H28" s="19">
        <f t="shared" si="4"/>
        <v>2013.3119999999997</v>
      </c>
    </row>
    <row r="29" spans="1:8" ht="15" customHeight="1" x14ac:dyDescent="0.25">
      <c r="A29" s="9">
        <v>5</v>
      </c>
      <c r="B29" s="6" t="s">
        <v>249</v>
      </c>
      <c r="C29" s="7" t="s">
        <v>44</v>
      </c>
      <c r="D29" s="5" t="s">
        <v>43</v>
      </c>
      <c r="E29" s="6" t="s">
        <v>14</v>
      </c>
      <c r="F29" s="6">
        <f>'Memória de Cálculo'!F52</f>
        <v>22.066400000000002</v>
      </c>
      <c r="G29" s="19">
        <v>60.57</v>
      </c>
      <c r="H29" s="19">
        <f t="shared" si="4"/>
        <v>1336.5618480000001</v>
      </c>
    </row>
    <row r="30" spans="1:8" ht="15" customHeight="1" x14ac:dyDescent="0.25">
      <c r="A30" s="9">
        <v>6</v>
      </c>
      <c r="B30" s="6" t="s">
        <v>249</v>
      </c>
      <c r="C30" s="7" t="s">
        <v>100</v>
      </c>
      <c r="D30" s="5" t="s">
        <v>102</v>
      </c>
      <c r="E30" s="6" t="s">
        <v>14</v>
      </c>
      <c r="F30" s="6">
        <f>'Memória de Cálculo'!F55</f>
        <v>22.066400000000002</v>
      </c>
      <c r="G30" s="19">
        <v>18.18</v>
      </c>
      <c r="H30" s="19">
        <f t="shared" si="4"/>
        <v>401.16715200000004</v>
      </c>
    </row>
    <row r="31" spans="1:8" ht="15" customHeight="1" x14ac:dyDescent="0.25">
      <c r="A31" s="153" t="s">
        <v>75</v>
      </c>
      <c r="B31" s="154"/>
      <c r="C31" s="154"/>
      <c r="D31" s="154"/>
      <c r="E31" s="154"/>
      <c r="F31" s="154"/>
      <c r="G31" s="155"/>
      <c r="H31" s="27">
        <f>SUM(H25:H30)</f>
        <v>6386.2296399999996</v>
      </c>
    </row>
    <row r="32" spans="1:8" ht="15" customHeight="1" x14ac:dyDescent="0.25">
      <c r="A32" s="119" t="s">
        <v>0</v>
      </c>
      <c r="B32" s="120"/>
      <c r="C32" s="120"/>
      <c r="D32" s="120"/>
      <c r="E32" s="120"/>
      <c r="F32" s="120"/>
      <c r="G32" s="120"/>
      <c r="H32" s="121"/>
    </row>
    <row r="33" spans="1:8" ht="15" customHeight="1" x14ac:dyDescent="0.25">
      <c r="A33" s="9">
        <v>1</v>
      </c>
      <c r="B33" s="6" t="s">
        <v>249</v>
      </c>
      <c r="C33" s="7" t="s">
        <v>22</v>
      </c>
      <c r="D33" s="5" t="s">
        <v>31</v>
      </c>
      <c r="E33" s="6" t="s">
        <v>14</v>
      </c>
      <c r="F33" s="14">
        <f>'Memória de Cálculo'!F59</f>
        <v>868.06090000000006</v>
      </c>
      <c r="G33" s="19">
        <v>89.88</v>
      </c>
      <c r="H33" s="19">
        <f>F33*G33</f>
        <v>78021.313691999996</v>
      </c>
    </row>
    <row r="34" spans="1:8" ht="15" customHeight="1" x14ac:dyDescent="0.25">
      <c r="A34" s="9">
        <v>2</v>
      </c>
      <c r="B34" s="6" t="s">
        <v>249</v>
      </c>
      <c r="C34" s="7" t="s">
        <v>24</v>
      </c>
      <c r="D34" s="5" t="s">
        <v>26</v>
      </c>
      <c r="E34" s="6" t="s">
        <v>25</v>
      </c>
      <c r="F34" s="14">
        <f>'Memória de Cálculo'!F62</f>
        <v>329.83180000000004</v>
      </c>
      <c r="G34" s="19">
        <v>12.61</v>
      </c>
      <c r="H34" s="19">
        <f t="shared" ref="H34:H43" si="5">F34*G34</f>
        <v>4159.1789980000003</v>
      </c>
    </row>
    <row r="35" spans="1:8" ht="15" customHeight="1" x14ac:dyDescent="0.25">
      <c r="A35" s="9">
        <v>3</v>
      </c>
      <c r="B35" s="6" t="s">
        <v>249</v>
      </c>
      <c r="C35" s="7" t="s">
        <v>29</v>
      </c>
      <c r="D35" s="5" t="s">
        <v>30</v>
      </c>
      <c r="E35" s="6" t="s">
        <v>16</v>
      </c>
      <c r="F35" s="14">
        <f>'Memória de Cálculo'!F65</f>
        <v>2.2176792400000003</v>
      </c>
      <c r="G35" s="19">
        <v>597.17999999999995</v>
      </c>
      <c r="H35" s="19">
        <f t="shared" si="5"/>
        <v>1324.3536885432</v>
      </c>
    </row>
    <row r="36" spans="1:8" ht="15" customHeight="1" x14ac:dyDescent="0.25">
      <c r="A36" s="9">
        <v>4</v>
      </c>
      <c r="B36" s="6" t="s">
        <v>249</v>
      </c>
      <c r="C36" s="7" t="s">
        <v>27</v>
      </c>
      <c r="D36" s="5" t="s">
        <v>28</v>
      </c>
      <c r="E36" s="6" t="s">
        <v>14</v>
      </c>
      <c r="F36" s="14">
        <f>'Memória de Cálculo'!F68</f>
        <v>190.8168</v>
      </c>
      <c r="G36" s="19">
        <v>82.88</v>
      </c>
      <c r="H36" s="19">
        <f t="shared" si="5"/>
        <v>15814.896384</v>
      </c>
    </row>
    <row r="37" spans="1:8" ht="15" customHeight="1" x14ac:dyDescent="0.25">
      <c r="A37" s="9">
        <v>5</v>
      </c>
      <c r="B37" s="6" t="s">
        <v>19</v>
      </c>
      <c r="C37" s="7" t="s">
        <v>32</v>
      </c>
      <c r="D37" s="5" t="s">
        <v>33</v>
      </c>
      <c r="E37" s="6" t="s">
        <v>14</v>
      </c>
      <c r="F37" s="14">
        <f>'Memória de Cálculo'!F71</f>
        <v>935.06939999999997</v>
      </c>
      <c r="G37" s="19">
        <v>186.83</v>
      </c>
      <c r="H37" s="19">
        <f t="shared" si="5"/>
        <v>174699.01600200002</v>
      </c>
    </row>
    <row r="38" spans="1:8" ht="15" customHeight="1" x14ac:dyDescent="0.25">
      <c r="A38" s="9">
        <v>6</v>
      </c>
      <c r="B38" s="6" t="s">
        <v>249</v>
      </c>
      <c r="C38" s="7" t="s">
        <v>34</v>
      </c>
      <c r="D38" s="5" t="s">
        <v>35</v>
      </c>
      <c r="E38" s="6" t="s">
        <v>25</v>
      </c>
      <c r="F38" s="14">
        <f>'Memória de Cálculo'!F74</f>
        <v>1836.0236</v>
      </c>
      <c r="G38" s="19">
        <v>12.77</v>
      </c>
      <c r="H38" s="19">
        <f t="shared" si="5"/>
        <v>23446.021371999999</v>
      </c>
    </row>
    <row r="39" spans="1:8" ht="15" customHeight="1" x14ac:dyDescent="0.25">
      <c r="A39" s="9">
        <v>7</v>
      </c>
      <c r="B39" s="6" t="s">
        <v>249</v>
      </c>
      <c r="C39" s="7" t="s">
        <v>29</v>
      </c>
      <c r="D39" s="5" t="s">
        <v>30</v>
      </c>
      <c r="E39" s="6" t="s">
        <v>16</v>
      </c>
      <c r="F39" s="14">
        <f>'Memória de Cálculo'!F77</f>
        <v>93.506940000000014</v>
      </c>
      <c r="G39" s="19">
        <v>597.17999999999995</v>
      </c>
      <c r="H39" s="19">
        <f t="shared" si="5"/>
        <v>55840.474429200003</v>
      </c>
    </row>
    <row r="40" spans="1:8" ht="15" customHeight="1" x14ac:dyDescent="0.25">
      <c r="A40" s="9">
        <v>8</v>
      </c>
      <c r="B40" s="6" t="s">
        <v>249</v>
      </c>
      <c r="C40" s="7" t="s">
        <v>44</v>
      </c>
      <c r="D40" s="5" t="s">
        <v>43</v>
      </c>
      <c r="E40" s="6" t="s">
        <v>14</v>
      </c>
      <c r="F40" s="14">
        <f>'Memória de Cálculo'!F80</f>
        <v>2084.1823999999997</v>
      </c>
      <c r="G40" s="19">
        <v>60.57</v>
      </c>
      <c r="H40" s="19">
        <f t="shared" si="5"/>
        <v>126238.92796799997</v>
      </c>
    </row>
    <row r="41" spans="1:8" ht="15" customHeight="1" x14ac:dyDescent="0.25">
      <c r="A41" s="9">
        <v>9</v>
      </c>
      <c r="B41" s="6" t="s">
        <v>249</v>
      </c>
      <c r="C41" s="7" t="s">
        <v>37</v>
      </c>
      <c r="D41" s="5" t="s">
        <v>40</v>
      </c>
      <c r="E41" s="6" t="s">
        <v>20</v>
      </c>
      <c r="F41" s="6">
        <f>'Memória de Cálculo'!F83</f>
        <v>395.98</v>
      </c>
      <c r="G41" s="19">
        <v>49.75</v>
      </c>
      <c r="H41" s="19">
        <f t="shared" si="5"/>
        <v>19700.005000000001</v>
      </c>
    </row>
    <row r="42" spans="1:8" ht="15" customHeight="1" x14ac:dyDescent="0.25">
      <c r="A42" s="9">
        <v>10</v>
      </c>
      <c r="B42" s="6" t="s">
        <v>246</v>
      </c>
      <c r="C42" s="7" t="s">
        <v>38</v>
      </c>
      <c r="D42" s="5" t="s">
        <v>41</v>
      </c>
      <c r="E42" s="6" t="s">
        <v>9</v>
      </c>
      <c r="F42" s="6">
        <f>'Memória de Cálculo'!F86</f>
        <v>370</v>
      </c>
      <c r="G42" s="19">
        <v>20.5</v>
      </c>
      <c r="H42" s="19">
        <f t="shared" si="5"/>
        <v>7585</v>
      </c>
    </row>
    <row r="43" spans="1:8" ht="15" customHeight="1" x14ac:dyDescent="0.25">
      <c r="A43" s="9">
        <v>11</v>
      </c>
      <c r="B43" s="6" t="s">
        <v>246</v>
      </c>
      <c r="C43" s="7" t="s">
        <v>39</v>
      </c>
      <c r="D43" s="5" t="s">
        <v>42</v>
      </c>
      <c r="E43" s="6" t="s">
        <v>9</v>
      </c>
      <c r="F43" s="6">
        <f>'Memória de Cálculo'!F89</f>
        <v>370</v>
      </c>
      <c r="G43" s="19">
        <v>27.75</v>
      </c>
      <c r="H43" s="19">
        <f t="shared" si="5"/>
        <v>10267.5</v>
      </c>
    </row>
    <row r="44" spans="1:8" ht="15" customHeight="1" x14ac:dyDescent="0.25">
      <c r="A44" s="153" t="s">
        <v>76</v>
      </c>
      <c r="B44" s="154"/>
      <c r="C44" s="154"/>
      <c r="D44" s="154"/>
      <c r="E44" s="154"/>
      <c r="F44" s="154"/>
      <c r="G44" s="155"/>
      <c r="H44" s="27">
        <f>SUM(H33:H43)</f>
        <v>517096.68753374321</v>
      </c>
    </row>
    <row r="45" spans="1:8" ht="15" customHeight="1" x14ac:dyDescent="0.25">
      <c r="A45" s="150" t="s">
        <v>36</v>
      </c>
      <c r="B45" s="151"/>
      <c r="C45" s="151"/>
      <c r="D45" s="151"/>
      <c r="E45" s="151"/>
      <c r="F45" s="151"/>
      <c r="G45" s="151"/>
      <c r="H45" s="152"/>
    </row>
    <row r="46" spans="1:8" ht="15" customHeight="1" x14ac:dyDescent="0.25">
      <c r="A46" s="9">
        <v>1</v>
      </c>
      <c r="B46" s="6" t="s">
        <v>249</v>
      </c>
      <c r="C46" s="7" t="s">
        <v>81</v>
      </c>
      <c r="D46" s="5" t="s">
        <v>82</v>
      </c>
      <c r="E46" s="6" t="s">
        <v>14</v>
      </c>
      <c r="F46" s="14">
        <f>'Memória de Cálculo'!F93</f>
        <v>317.1019</v>
      </c>
      <c r="G46" s="19">
        <v>17.14</v>
      </c>
      <c r="H46" s="19">
        <f>F46*G46</f>
        <v>5435.1265659999999</v>
      </c>
    </row>
    <row r="47" spans="1:8" ht="15" customHeight="1" x14ac:dyDescent="0.25">
      <c r="A47" s="9">
        <v>2</v>
      </c>
      <c r="B47" s="6" t="s">
        <v>249</v>
      </c>
      <c r="C47" s="7" t="s">
        <v>45</v>
      </c>
      <c r="D47" s="5" t="s">
        <v>48</v>
      </c>
      <c r="E47" s="6" t="s">
        <v>14</v>
      </c>
      <c r="F47" s="6">
        <f>'Memória de Cálculo'!F96</f>
        <v>317.1019</v>
      </c>
      <c r="G47" s="19">
        <v>49.2</v>
      </c>
      <c r="H47" s="19">
        <f t="shared" ref="H47:H49" si="6">F47*G47</f>
        <v>15601.413480000001</v>
      </c>
    </row>
    <row r="48" spans="1:8" ht="15" customHeight="1" x14ac:dyDescent="0.25">
      <c r="A48" s="9">
        <v>3</v>
      </c>
      <c r="B48" s="6" t="s">
        <v>249</v>
      </c>
      <c r="C48" s="7" t="s">
        <v>46</v>
      </c>
      <c r="D48" s="5" t="s">
        <v>49</v>
      </c>
      <c r="E48" s="6" t="s">
        <v>14</v>
      </c>
      <c r="F48" s="6">
        <f>'Memória de Cálculo'!F99</f>
        <v>317.1019</v>
      </c>
      <c r="G48" s="19">
        <v>27.9</v>
      </c>
      <c r="H48" s="19">
        <f t="shared" si="6"/>
        <v>8847.1430099999998</v>
      </c>
    </row>
    <row r="49" spans="1:8" ht="15" customHeight="1" x14ac:dyDescent="0.25">
      <c r="A49" s="9">
        <v>4</v>
      </c>
      <c r="B49" s="6" t="s">
        <v>249</v>
      </c>
      <c r="C49" s="7" t="s">
        <v>47</v>
      </c>
      <c r="D49" s="5" t="s">
        <v>50</v>
      </c>
      <c r="E49" s="6" t="s">
        <v>14</v>
      </c>
      <c r="F49" s="14">
        <f>'Memória de Cálculo'!F102</f>
        <v>462.82</v>
      </c>
      <c r="G49" s="19">
        <v>13.83</v>
      </c>
      <c r="H49" s="19">
        <f t="shared" si="6"/>
        <v>6400.8005999999996</v>
      </c>
    </row>
    <row r="50" spans="1:8" ht="15" customHeight="1" x14ac:dyDescent="0.25">
      <c r="A50" s="158" t="s">
        <v>77</v>
      </c>
      <c r="B50" s="158"/>
      <c r="C50" s="158"/>
      <c r="D50" s="158"/>
      <c r="E50" s="158"/>
      <c r="F50" s="158"/>
      <c r="G50" s="158"/>
      <c r="H50" s="27">
        <f>SUM(H46:H49)</f>
        <v>36284.483656000004</v>
      </c>
    </row>
    <row r="51" spans="1:8" ht="15" customHeight="1" x14ac:dyDescent="0.25">
      <c r="A51" s="97" t="s">
        <v>244</v>
      </c>
      <c r="B51" s="97"/>
      <c r="C51" s="97"/>
      <c r="D51" s="97"/>
      <c r="E51" s="97"/>
      <c r="F51" s="158" t="s">
        <v>73</v>
      </c>
      <c r="G51" s="158"/>
      <c r="H51" s="27">
        <f>H12+H17+H23+H31+H44+H50</f>
        <v>675553.33627774322</v>
      </c>
    </row>
    <row r="52" spans="1:8" ht="15" customHeight="1" x14ac:dyDescent="0.25">
      <c r="A52" s="98"/>
      <c r="B52" s="98"/>
      <c r="C52" s="98"/>
      <c r="D52" s="98"/>
      <c r="E52" s="98"/>
      <c r="F52" s="158" t="s">
        <v>62</v>
      </c>
      <c r="G52" s="158"/>
      <c r="H52" s="26">
        <f>BDI!C11</f>
        <v>0.21086248912626493</v>
      </c>
    </row>
    <row r="53" spans="1:8" ht="15" customHeight="1" x14ac:dyDescent="0.25">
      <c r="A53" s="98"/>
      <c r="B53" s="98"/>
      <c r="C53" s="98"/>
      <c r="D53" s="98"/>
      <c r="E53" s="98"/>
      <c r="F53" s="158" t="s">
        <v>63</v>
      </c>
      <c r="G53" s="158"/>
      <c r="H53" s="27">
        <f>H51*(1+H52)</f>
        <v>818002.19430282083</v>
      </c>
    </row>
    <row r="54" spans="1:8" ht="15" customHeight="1" x14ac:dyDescent="0.25">
      <c r="A54" s="98"/>
      <c r="B54" s="98"/>
      <c r="C54" s="98"/>
      <c r="D54" s="98"/>
      <c r="E54" s="98"/>
      <c r="F54" s="4"/>
      <c r="G54" s="4"/>
      <c r="H54" s="4"/>
    </row>
    <row r="55" spans="1:8" ht="15" customHeight="1" x14ac:dyDescent="0.25">
      <c r="A55" s="98"/>
      <c r="B55" s="98"/>
      <c r="C55" s="98"/>
      <c r="D55" s="98"/>
      <c r="E55" s="98"/>
      <c r="F55" s="4"/>
      <c r="G55" s="4"/>
      <c r="H55" s="4"/>
    </row>
    <row r="56" spans="1:8" ht="15" customHeight="1" x14ac:dyDescent="0.25">
      <c r="A56" s="98"/>
      <c r="B56" s="98"/>
      <c r="C56" s="98"/>
      <c r="D56" s="98"/>
      <c r="E56" s="98"/>
      <c r="F56" s="4"/>
      <c r="G56" s="4"/>
      <c r="H56" s="4"/>
    </row>
    <row r="57" spans="1:8" ht="15" customHeight="1" x14ac:dyDescent="0.25">
      <c r="A57" s="98"/>
      <c r="B57" s="98"/>
      <c r="C57" s="98"/>
      <c r="D57" s="98"/>
      <c r="E57" s="98"/>
      <c r="F57" s="4"/>
      <c r="G57" s="4"/>
      <c r="H57" s="4"/>
    </row>
    <row r="58" spans="1:8" ht="15" customHeight="1" x14ac:dyDescent="0.25">
      <c r="A58" s="98"/>
      <c r="B58" s="98"/>
      <c r="C58" s="98"/>
      <c r="D58" s="98"/>
      <c r="E58" s="98"/>
      <c r="F58" s="4"/>
      <c r="G58" s="4"/>
      <c r="H58" s="4"/>
    </row>
    <row r="59" spans="1:8" ht="15" customHeight="1" x14ac:dyDescent="0.25">
      <c r="A59" s="15"/>
      <c r="B59" s="15"/>
      <c r="C59" s="15"/>
      <c r="D59" s="15"/>
      <c r="E59" s="15"/>
      <c r="F59" s="15"/>
      <c r="G59" s="15"/>
      <c r="H59" s="15"/>
    </row>
    <row r="60" spans="1:8" ht="15" customHeight="1" x14ac:dyDescent="0.25">
      <c r="A60" s="15"/>
      <c r="B60" s="15"/>
      <c r="C60" s="15"/>
      <c r="D60" s="15"/>
      <c r="E60" s="15"/>
      <c r="F60" s="15"/>
      <c r="G60" s="15"/>
      <c r="H60" s="15"/>
    </row>
    <row r="61" spans="1:8" ht="15" customHeight="1" x14ac:dyDescent="0.25">
      <c r="A61" s="15"/>
      <c r="B61" s="15"/>
      <c r="C61" s="15"/>
      <c r="D61" s="15"/>
      <c r="E61" s="15"/>
      <c r="F61" s="4"/>
      <c r="G61" s="4"/>
      <c r="H61" s="15"/>
    </row>
    <row r="62" spans="1:8" ht="15" customHeight="1" x14ac:dyDescent="0.25">
      <c r="A62" s="17"/>
      <c r="B62" s="17"/>
      <c r="C62" s="17"/>
      <c r="D62" s="15"/>
      <c r="E62" s="15"/>
      <c r="F62" s="15"/>
      <c r="G62" s="15"/>
      <c r="H62" s="15"/>
    </row>
    <row r="63" spans="1:8" ht="15" customHeight="1" x14ac:dyDescent="0.25">
      <c r="A63" s="17"/>
      <c r="B63" s="17"/>
      <c r="C63" s="17"/>
      <c r="D63" s="15"/>
      <c r="E63" s="15"/>
      <c r="F63" s="15"/>
      <c r="G63" s="15"/>
      <c r="H63" s="15"/>
    </row>
    <row r="64" spans="1:8" ht="15" customHeight="1" x14ac:dyDescent="0.25">
      <c r="A64" s="17"/>
      <c r="B64" s="4"/>
      <c r="C64" s="18"/>
      <c r="D64" s="4"/>
      <c r="E64" s="15"/>
      <c r="F64" s="4"/>
      <c r="G64" s="4"/>
      <c r="H64" s="15"/>
    </row>
    <row r="65" spans="1:8" ht="15" customHeight="1" x14ac:dyDescent="0.25">
      <c r="A65" s="17"/>
      <c r="B65" s="17"/>
      <c r="C65" s="17"/>
      <c r="D65" s="15"/>
      <c r="E65" s="15"/>
      <c r="F65" s="15"/>
      <c r="G65" s="15"/>
      <c r="H65" s="15"/>
    </row>
    <row r="66" spans="1:8" ht="15" customHeight="1" x14ac:dyDescent="0.25">
      <c r="A66" s="17"/>
      <c r="B66" s="17"/>
      <c r="C66" s="17"/>
      <c r="D66" s="15"/>
      <c r="E66" s="15"/>
      <c r="F66" s="15"/>
      <c r="G66" s="15"/>
      <c r="H66" s="15"/>
    </row>
    <row r="67" spans="1:8" ht="15" customHeight="1" x14ac:dyDescent="0.25">
      <c r="A67" s="17"/>
      <c r="B67" s="17"/>
      <c r="C67" s="17"/>
      <c r="D67" s="17"/>
      <c r="E67" s="17"/>
      <c r="F67" s="17"/>
      <c r="G67" s="17"/>
      <c r="H67" s="17"/>
    </row>
    <row r="68" spans="1:8" ht="15" customHeight="1" x14ac:dyDescent="0.25">
      <c r="A68" s="17"/>
      <c r="B68" s="4"/>
      <c r="C68" s="18"/>
      <c r="D68" s="4"/>
      <c r="E68" s="15"/>
      <c r="F68" s="4"/>
      <c r="G68" s="4"/>
      <c r="H68" s="15"/>
    </row>
    <row r="69" spans="1:8" ht="15" customHeight="1" x14ac:dyDescent="0.25">
      <c r="A69" s="17"/>
      <c r="B69" s="17"/>
      <c r="C69" s="17"/>
      <c r="D69" s="15"/>
      <c r="E69" s="15"/>
      <c r="F69" s="15"/>
      <c r="G69" s="15"/>
      <c r="H69" s="15"/>
    </row>
    <row r="70" spans="1:8" ht="15" customHeight="1" x14ac:dyDescent="0.25">
      <c r="A70" s="17"/>
      <c r="B70" s="17"/>
      <c r="C70" s="17"/>
      <c r="D70" s="15"/>
      <c r="E70" s="15"/>
      <c r="F70" s="15"/>
      <c r="G70" s="15"/>
      <c r="H70" s="15"/>
    </row>
    <row r="71" spans="1:8" ht="15" customHeight="1" x14ac:dyDescent="0.25">
      <c r="A71" s="17"/>
      <c r="B71" s="15"/>
      <c r="C71" s="18"/>
      <c r="D71" s="4"/>
      <c r="E71" s="15"/>
      <c r="F71" s="4"/>
      <c r="G71" s="4"/>
      <c r="H71" s="15"/>
    </row>
    <row r="72" spans="1:8" ht="15" customHeight="1" x14ac:dyDescent="0.25">
      <c r="A72" s="17"/>
      <c r="B72" s="17"/>
      <c r="C72" s="17"/>
      <c r="D72" s="15"/>
      <c r="E72" s="15"/>
      <c r="F72" s="15"/>
      <c r="G72" s="15"/>
      <c r="H72" s="15"/>
    </row>
    <row r="73" spans="1:8" ht="15" customHeight="1" x14ac:dyDescent="0.25">
      <c r="A73" s="17"/>
      <c r="B73" s="17"/>
      <c r="C73" s="17"/>
      <c r="D73" s="15"/>
      <c r="E73" s="15"/>
      <c r="F73" s="15"/>
      <c r="G73" s="15"/>
      <c r="H73" s="15"/>
    </row>
    <row r="74" spans="1:8" ht="15" customHeight="1" x14ac:dyDescent="0.25">
      <c r="A74" s="17"/>
      <c r="B74" s="15"/>
      <c r="C74" s="18"/>
      <c r="D74" s="4"/>
      <c r="E74" s="15"/>
      <c r="F74" s="4"/>
      <c r="G74" s="4"/>
      <c r="H74" s="15"/>
    </row>
    <row r="75" spans="1:8" ht="15" customHeight="1" x14ac:dyDescent="0.25">
      <c r="A75" s="17"/>
      <c r="B75" s="17"/>
      <c r="C75" s="17"/>
      <c r="D75" s="15"/>
      <c r="E75" s="15"/>
      <c r="F75" s="15"/>
      <c r="G75" s="15"/>
      <c r="H75" s="15"/>
    </row>
    <row r="76" spans="1:8" ht="15" customHeight="1" x14ac:dyDescent="0.25">
      <c r="A76" s="17"/>
      <c r="B76" s="17"/>
      <c r="C76" s="17"/>
      <c r="D76" s="15"/>
      <c r="E76" s="15"/>
      <c r="F76" s="15"/>
      <c r="G76" s="15"/>
      <c r="H76" s="15"/>
    </row>
    <row r="77" spans="1:8" ht="15" customHeight="1" x14ac:dyDescent="0.25">
      <c r="A77" s="17"/>
      <c r="B77" s="15"/>
      <c r="C77" s="18"/>
      <c r="D77" s="4"/>
      <c r="E77" s="15"/>
      <c r="F77" s="4"/>
      <c r="G77" s="4"/>
      <c r="H77" s="15"/>
    </row>
    <row r="78" spans="1:8" ht="15" customHeight="1" x14ac:dyDescent="0.25">
      <c r="A78" s="17"/>
      <c r="B78" s="17"/>
      <c r="C78" s="17"/>
      <c r="D78" s="15"/>
      <c r="E78" s="15"/>
      <c r="F78" s="15"/>
      <c r="G78" s="15"/>
      <c r="H78" s="15"/>
    </row>
    <row r="79" spans="1:8" ht="15" customHeight="1" x14ac:dyDescent="0.25">
      <c r="A79" s="17"/>
      <c r="B79" s="17"/>
      <c r="C79" s="17"/>
      <c r="D79" s="15"/>
      <c r="E79" s="15"/>
      <c r="F79" s="15"/>
      <c r="G79" s="15"/>
      <c r="H79" s="15"/>
    </row>
    <row r="80" spans="1:8" ht="15" customHeight="1" x14ac:dyDescent="0.25">
      <c r="A80" s="17"/>
      <c r="B80" s="15"/>
      <c r="C80" s="18"/>
      <c r="D80" s="4"/>
      <c r="E80" s="15"/>
      <c r="F80" s="4"/>
      <c r="G80" s="4"/>
      <c r="H80" s="15"/>
    </row>
    <row r="81" spans="1:8" ht="15" customHeight="1" x14ac:dyDescent="0.25">
      <c r="A81" s="17"/>
      <c r="B81" s="17"/>
      <c r="C81" s="17"/>
      <c r="D81" s="15"/>
      <c r="E81" s="15"/>
      <c r="F81" s="15"/>
      <c r="G81" s="15"/>
      <c r="H81" s="15"/>
    </row>
    <row r="82" spans="1:8" ht="15" customHeight="1" x14ac:dyDescent="0.25">
      <c r="A82" s="17"/>
      <c r="B82" s="17"/>
      <c r="C82" s="17"/>
      <c r="D82" s="15"/>
      <c r="E82" s="15"/>
      <c r="F82" s="15"/>
      <c r="G82" s="15"/>
      <c r="H82" s="15"/>
    </row>
    <row r="83" spans="1:8" ht="15" customHeight="1" x14ac:dyDescent="0.25">
      <c r="A83" s="17"/>
      <c r="B83" s="4"/>
      <c r="C83" s="18"/>
      <c r="D83" s="4"/>
      <c r="E83" s="15"/>
      <c r="F83" s="4"/>
      <c r="G83" s="4"/>
      <c r="H83" s="15"/>
    </row>
    <row r="84" spans="1:8" ht="15" customHeight="1" x14ac:dyDescent="0.25">
      <c r="A84" s="17"/>
      <c r="B84" s="17"/>
      <c r="C84" s="17"/>
      <c r="D84" s="15"/>
      <c r="E84" s="15"/>
      <c r="F84" s="15"/>
      <c r="G84" s="15"/>
      <c r="H84" s="15"/>
    </row>
    <row r="85" spans="1:8" ht="15" customHeight="1" x14ac:dyDescent="0.25">
      <c r="A85" s="17"/>
      <c r="B85" s="17"/>
      <c r="C85" s="17"/>
      <c r="D85" s="15"/>
      <c r="E85" s="15"/>
      <c r="F85" s="15"/>
      <c r="G85" s="15"/>
      <c r="H85" s="15"/>
    </row>
    <row r="86" spans="1:8" ht="15" customHeight="1" x14ac:dyDescent="0.25">
      <c r="A86" s="17"/>
      <c r="B86" s="15"/>
      <c r="C86" s="18"/>
      <c r="D86" s="4"/>
      <c r="E86" s="15"/>
      <c r="F86" s="15"/>
      <c r="G86" s="15"/>
      <c r="H86" s="15"/>
    </row>
    <row r="87" spans="1:8" ht="15" customHeight="1" x14ac:dyDescent="0.25">
      <c r="A87" s="17"/>
      <c r="B87" s="17"/>
      <c r="C87" s="17"/>
      <c r="D87" s="15"/>
      <c r="E87" s="15"/>
      <c r="F87" s="15"/>
      <c r="G87" s="15"/>
      <c r="H87" s="15"/>
    </row>
    <row r="88" spans="1:8" ht="15" customHeight="1" x14ac:dyDescent="0.25">
      <c r="A88" s="17"/>
      <c r="B88" s="17"/>
      <c r="C88" s="17"/>
      <c r="D88" s="15"/>
      <c r="E88" s="15"/>
      <c r="F88" s="15"/>
      <c r="G88" s="15"/>
      <c r="H88" s="15"/>
    </row>
    <row r="89" spans="1:8" ht="15" customHeight="1" x14ac:dyDescent="0.25">
      <c r="A89" s="17"/>
      <c r="B89" s="15"/>
      <c r="C89" s="18"/>
      <c r="D89" s="4"/>
      <c r="E89" s="15"/>
      <c r="F89" s="15"/>
      <c r="G89" s="15"/>
      <c r="H89" s="15"/>
    </row>
    <row r="90" spans="1:8" ht="15" customHeight="1" x14ac:dyDescent="0.25">
      <c r="A90" s="17"/>
      <c r="B90" s="17"/>
      <c r="C90" s="17"/>
      <c r="D90" s="15"/>
      <c r="E90" s="15"/>
      <c r="F90" s="15"/>
      <c r="G90" s="15"/>
      <c r="H90" s="15"/>
    </row>
    <row r="91" spans="1:8" ht="15" customHeight="1" x14ac:dyDescent="0.25">
      <c r="A91" s="17"/>
      <c r="B91" s="17"/>
      <c r="C91" s="17"/>
      <c r="D91" s="15"/>
      <c r="E91" s="15"/>
      <c r="F91" s="15"/>
      <c r="G91" s="15"/>
      <c r="H91" s="15"/>
    </row>
    <row r="92" spans="1:8" ht="15" customHeight="1" x14ac:dyDescent="0.25">
      <c r="A92" s="17"/>
      <c r="B92" s="15"/>
      <c r="C92" s="18"/>
      <c r="D92" s="4"/>
      <c r="E92" s="15"/>
      <c r="F92" s="15"/>
      <c r="G92" s="15"/>
      <c r="H92" s="15"/>
    </row>
    <row r="93" spans="1:8" ht="15" customHeight="1" x14ac:dyDescent="0.25">
      <c r="A93" s="17"/>
      <c r="B93" s="17"/>
      <c r="C93" s="17"/>
      <c r="D93" s="15"/>
      <c r="E93" s="15"/>
      <c r="F93" s="15"/>
      <c r="G93" s="15"/>
      <c r="H93" s="15"/>
    </row>
    <row r="94" spans="1:8" ht="15" customHeight="1" x14ac:dyDescent="0.25">
      <c r="A94" s="17"/>
      <c r="B94" s="17"/>
      <c r="C94" s="17"/>
      <c r="D94" s="15"/>
      <c r="E94" s="15"/>
      <c r="F94" s="15"/>
      <c r="G94" s="15"/>
      <c r="H94" s="15"/>
    </row>
    <row r="95" spans="1:8" ht="15" customHeight="1" x14ac:dyDescent="0.25">
      <c r="A95" s="17"/>
      <c r="B95" s="15"/>
      <c r="C95" s="18"/>
      <c r="D95" s="4"/>
      <c r="E95" s="15"/>
      <c r="F95" s="15"/>
      <c r="G95" s="15"/>
      <c r="H95" s="15"/>
    </row>
    <row r="96" spans="1:8" ht="15" customHeight="1" x14ac:dyDescent="0.25">
      <c r="A96" s="17"/>
      <c r="B96" s="17"/>
      <c r="C96" s="17"/>
      <c r="D96" s="15"/>
      <c r="E96" s="15"/>
      <c r="F96" s="15"/>
      <c r="G96" s="15"/>
      <c r="H96" s="15"/>
    </row>
    <row r="97" spans="1:8" ht="15" customHeight="1" x14ac:dyDescent="0.25">
      <c r="A97" s="17"/>
      <c r="B97" s="17"/>
      <c r="C97" s="17"/>
      <c r="D97" s="15"/>
      <c r="E97" s="15"/>
      <c r="F97" s="15"/>
      <c r="G97" s="15"/>
      <c r="H97" s="15"/>
    </row>
    <row r="98" spans="1:8" ht="15" customHeight="1" x14ac:dyDescent="0.25">
      <c r="A98" s="16"/>
      <c r="B98" s="16"/>
      <c r="C98" s="16"/>
      <c r="D98" s="16"/>
      <c r="E98" s="16"/>
      <c r="F98" s="16"/>
      <c r="G98" s="16"/>
      <c r="H98" s="16"/>
    </row>
    <row r="99" spans="1:8" ht="15" customHeight="1" x14ac:dyDescent="0.25">
      <c r="A99" s="17"/>
      <c r="B99" s="4"/>
      <c r="C99" s="18"/>
      <c r="D99" s="4"/>
      <c r="E99" s="15"/>
      <c r="F99" s="15"/>
      <c r="G99" s="4"/>
      <c r="H99" s="4"/>
    </row>
    <row r="100" spans="1:8" ht="15" customHeight="1" x14ac:dyDescent="0.25">
      <c r="A100" s="17"/>
      <c r="B100" s="17"/>
      <c r="C100" s="17"/>
      <c r="D100" s="15"/>
      <c r="E100" s="15"/>
      <c r="F100" s="15"/>
      <c r="G100" s="15"/>
      <c r="H100" s="15"/>
    </row>
    <row r="101" spans="1:8" ht="15" customHeight="1" x14ac:dyDescent="0.25">
      <c r="A101" s="17"/>
      <c r="B101" s="17"/>
      <c r="C101" s="17"/>
      <c r="D101" s="15"/>
      <c r="E101" s="15"/>
      <c r="F101" s="15"/>
      <c r="G101" s="15"/>
      <c r="H101" s="15"/>
    </row>
    <row r="102" spans="1:8" ht="15" customHeight="1" x14ac:dyDescent="0.25">
      <c r="A102" s="17"/>
      <c r="B102" s="4"/>
      <c r="C102" s="18"/>
      <c r="D102" s="4"/>
      <c r="E102" s="15"/>
      <c r="F102" s="15"/>
      <c r="G102" s="4"/>
      <c r="H102" s="4"/>
    </row>
    <row r="103" spans="1:8" ht="15" customHeight="1" x14ac:dyDescent="0.25">
      <c r="A103" s="17"/>
      <c r="B103" s="17"/>
      <c r="C103" s="17"/>
      <c r="D103" s="15"/>
      <c r="E103" s="15"/>
      <c r="F103" s="15"/>
      <c r="G103" s="15"/>
      <c r="H103" s="15"/>
    </row>
    <row r="104" spans="1:8" ht="15" customHeight="1" x14ac:dyDescent="0.25">
      <c r="A104" s="17"/>
      <c r="B104" s="17"/>
      <c r="C104" s="17"/>
      <c r="D104" s="15"/>
      <c r="E104" s="15"/>
      <c r="F104" s="15"/>
      <c r="G104" s="15"/>
      <c r="H104" s="15"/>
    </row>
    <row r="105" spans="1:8" ht="15" customHeight="1" x14ac:dyDescent="0.25">
      <c r="A105" s="17"/>
      <c r="B105" s="4"/>
      <c r="C105" s="18"/>
      <c r="D105" s="4"/>
      <c r="E105" s="15"/>
      <c r="F105" s="15"/>
      <c r="G105" s="4"/>
      <c r="H105" s="4"/>
    </row>
    <row r="106" spans="1:8" ht="15" customHeight="1" x14ac:dyDescent="0.25">
      <c r="A106" s="17"/>
      <c r="B106" s="17"/>
      <c r="C106" s="17"/>
      <c r="D106" s="15"/>
      <c r="E106" s="15"/>
      <c r="F106" s="15"/>
      <c r="G106" s="15"/>
      <c r="H106" s="15"/>
    </row>
    <row r="107" spans="1:8" ht="15" customHeight="1" x14ac:dyDescent="0.25">
      <c r="A107" s="17"/>
      <c r="B107" s="17"/>
      <c r="C107" s="17"/>
      <c r="D107" s="15"/>
      <c r="E107" s="15"/>
      <c r="F107" s="15"/>
      <c r="G107" s="15"/>
      <c r="H107" s="15"/>
    </row>
    <row r="108" spans="1:8" ht="15" customHeight="1" x14ac:dyDescent="0.25">
      <c r="A108" s="17"/>
      <c r="B108" s="4"/>
      <c r="C108" s="18"/>
      <c r="D108" s="4"/>
      <c r="E108" s="15"/>
      <c r="F108" s="15"/>
      <c r="G108" s="15"/>
      <c r="H108" s="15"/>
    </row>
    <row r="109" spans="1:8" ht="15" customHeight="1" x14ac:dyDescent="0.25">
      <c r="A109" s="17"/>
      <c r="B109" s="17"/>
      <c r="C109" s="17"/>
      <c r="D109" s="15"/>
      <c r="E109" s="15"/>
      <c r="F109" s="15"/>
      <c r="G109" s="15"/>
      <c r="H109" s="15"/>
    </row>
    <row r="110" spans="1:8" ht="14.45" customHeight="1" x14ac:dyDescent="0.25">
      <c r="A110" s="17"/>
      <c r="B110" s="17"/>
      <c r="C110" s="17"/>
      <c r="D110" s="15"/>
      <c r="E110" s="15"/>
      <c r="F110" s="15"/>
      <c r="G110" s="15"/>
      <c r="H110" s="15"/>
    </row>
  </sheetData>
  <mergeCells count="21">
    <mergeCell ref="A18:H18"/>
    <mergeCell ref="A17:G17"/>
    <mergeCell ref="A23:G23"/>
    <mergeCell ref="A9:H9"/>
    <mergeCell ref="A12:G12"/>
    <mergeCell ref="A13:H13"/>
    <mergeCell ref="A1:C7"/>
    <mergeCell ref="D1:D2"/>
    <mergeCell ref="E1:H7"/>
    <mergeCell ref="D3:D4"/>
    <mergeCell ref="D5:D6"/>
    <mergeCell ref="F51:G51"/>
    <mergeCell ref="A24:H24"/>
    <mergeCell ref="A32:H32"/>
    <mergeCell ref="A44:G44"/>
    <mergeCell ref="A45:H45"/>
    <mergeCell ref="A50:G50"/>
    <mergeCell ref="A51:E58"/>
    <mergeCell ref="F52:G52"/>
    <mergeCell ref="F53:G53"/>
    <mergeCell ref="A31:G31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6">
    <pageSetUpPr fitToPage="1"/>
  </sheetPr>
  <dimension ref="A1:P31"/>
  <sheetViews>
    <sheetView showGridLines="0" tabSelected="1" zoomScale="80" zoomScaleNormal="80" workbookViewId="0">
      <selection activeCell="A24" sqref="A24:P31"/>
    </sheetView>
  </sheetViews>
  <sheetFormatPr defaultColWidth="8.85546875" defaultRowHeight="15" x14ac:dyDescent="0.2"/>
  <cols>
    <col min="1" max="1" width="11.28515625" style="4" customWidth="1"/>
    <col min="2" max="3" width="15.7109375" style="4" customWidth="1"/>
    <col min="4" max="4" width="19.28515625" style="4" bestFit="1" customWidth="1"/>
    <col min="5" max="5" width="16.5703125" style="4" bestFit="1" customWidth="1"/>
    <col min="6" max="8" width="16" style="4" bestFit="1" customWidth="1"/>
    <col min="9" max="16" width="17.28515625" style="4" bestFit="1" customWidth="1"/>
    <col min="17" max="16384" width="8.85546875" style="4"/>
  </cols>
  <sheetData>
    <row r="1" spans="1:16" ht="15" customHeight="1" x14ac:dyDescent="0.2">
      <c r="A1" s="156"/>
      <c r="B1" s="156"/>
      <c r="C1" s="156"/>
      <c r="D1" s="159" t="s">
        <v>83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6" ht="15" customHeight="1" x14ac:dyDescent="0.2">
      <c r="A2" s="156"/>
      <c r="B2" s="156"/>
      <c r="C2" s="156"/>
      <c r="D2" s="157" t="s">
        <v>1</v>
      </c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</row>
    <row r="3" spans="1:16" ht="15" customHeight="1" x14ac:dyDescent="0.2">
      <c r="A3" s="156"/>
      <c r="B3" s="156"/>
      <c r="C3" s="156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</row>
    <row r="4" spans="1:16" ht="15" customHeight="1" x14ac:dyDescent="0.2">
      <c r="A4" s="156"/>
      <c r="B4" s="156"/>
      <c r="C4" s="156"/>
      <c r="D4" s="157" t="s">
        <v>2</v>
      </c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</row>
    <row r="5" spans="1:16" ht="15" customHeight="1" x14ac:dyDescent="0.2">
      <c r="A5" s="156"/>
      <c r="B5" s="156"/>
      <c r="C5" s="156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</row>
    <row r="6" spans="1:16" ht="15" customHeight="1" x14ac:dyDescent="0.2">
      <c r="A6" s="156"/>
      <c r="B6" s="156"/>
      <c r="C6" s="156"/>
      <c r="D6" s="157" t="s">
        <v>3</v>
      </c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ht="15" customHeight="1" x14ac:dyDescent="0.2">
      <c r="A7" s="156"/>
      <c r="B7" s="156"/>
      <c r="C7" s="156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</row>
    <row r="8" spans="1:16" ht="15.75" x14ac:dyDescent="0.25">
      <c r="A8" s="30" t="s">
        <v>5</v>
      </c>
      <c r="B8" s="160" t="s">
        <v>84</v>
      </c>
      <c r="C8" s="160"/>
      <c r="D8" s="31" t="s">
        <v>85</v>
      </c>
      <c r="E8" s="30" t="s">
        <v>86</v>
      </c>
      <c r="F8" s="30" t="s">
        <v>87</v>
      </c>
      <c r="G8" s="30" t="s">
        <v>88</v>
      </c>
      <c r="H8" s="30" t="s">
        <v>89</v>
      </c>
      <c r="I8" s="30" t="s">
        <v>90</v>
      </c>
      <c r="J8" s="30" t="s">
        <v>91</v>
      </c>
      <c r="K8" s="30" t="s">
        <v>92</v>
      </c>
      <c r="L8" s="30" t="s">
        <v>93</v>
      </c>
      <c r="M8" s="30" t="s">
        <v>94</v>
      </c>
      <c r="N8" s="30" t="s">
        <v>95</v>
      </c>
      <c r="O8" s="30" t="s">
        <v>96</v>
      </c>
      <c r="P8" s="30" t="s">
        <v>97</v>
      </c>
    </row>
    <row r="9" spans="1:16" ht="15.75" x14ac:dyDescent="0.2">
      <c r="A9" s="162">
        <v>1</v>
      </c>
      <c r="B9" s="161" t="s">
        <v>98</v>
      </c>
      <c r="C9" s="161"/>
      <c r="D9" s="163">
        <f>'Tabela sem Desoneração'!H12</f>
        <v>5823.9231999999993</v>
      </c>
      <c r="E9" s="33">
        <v>1</v>
      </c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">
      <c r="A10" s="162"/>
      <c r="B10" s="161"/>
      <c r="C10" s="161"/>
      <c r="D10" s="163"/>
      <c r="E10" s="59">
        <f>D9*E9</f>
        <v>5823.9231999999993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15.6" customHeight="1" x14ac:dyDescent="0.2">
      <c r="A11" s="162">
        <v>2</v>
      </c>
      <c r="B11" s="161" t="s">
        <v>78</v>
      </c>
      <c r="C11" s="161"/>
      <c r="D11" s="163">
        <f>'Tabela sem Desoneração'!H17</f>
        <v>26784.700719999997</v>
      </c>
      <c r="E11" s="33">
        <v>0.25</v>
      </c>
      <c r="F11" s="33">
        <v>0.25</v>
      </c>
      <c r="G11" s="33">
        <v>0.25</v>
      </c>
      <c r="H11" s="33">
        <v>0.25</v>
      </c>
      <c r="I11" s="60"/>
      <c r="J11" s="60"/>
      <c r="K11" s="60"/>
      <c r="L11" s="60"/>
      <c r="M11" s="60"/>
      <c r="N11" s="60"/>
      <c r="O11" s="60"/>
      <c r="P11" s="60"/>
    </row>
    <row r="12" spans="1:16" x14ac:dyDescent="0.2">
      <c r="A12" s="162"/>
      <c r="B12" s="161"/>
      <c r="C12" s="161"/>
      <c r="D12" s="163"/>
      <c r="E12" s="59">
        <f>$D$11*E11</f>
        <v>6696.1751799999993</v>
      </c>
      <c r="F12" s="59">
        <f t="shared" ref="F12:P12" si="0">$D$11*F11</f>
        <v>6696.1751799999993</v>
      </c>
      <c r="G12" s="59">
        <f t="shared" si="0"/>
        <v>6696.1751799999993</v>
      </c>
      <c r="H12" s="59">
        <f t="shared" si="0"/>
        <v>6696.1751799999993</v>
      </c>
      <c r="I12" s="19">
        <f t="shared" si="0"/>
        <v>0</v>
      </c>
      <c r="J12" s="19">
        <f t="shared" si="0"/>
        <v>0</v>
      </c>
      <c r="K12" s="19">
        <f t="shared" si="0"/>
        <v>0</v>
      </c>
      <c r="L12" s="19">
        <f t="shared" si="0"/>
        <v>0</v>
      </c>
      <c r="M12" s="19">
        <f t="shared" si="0"/>
        <v>0</v>
      </c>
      <c r="N12" s="19">
        <f t="shared" si="0"/>
        <v>0</v>
      </c>
      <c r="O12" s="19">
        <f t="shared" si="0"/>
        <v>0</v>
      </c>
      <c r="P12" s="19">
        <f t="shared" si="0"/>
        <v>0</v>
      </c>
    </row>
    <row r="13" spans="1:16" ht="15.6" customHeight="1" x14ac:dyDescent="0.2">
      <c r="A13" s="162">
        <v>3</v>
      </c>
      <c r="B13" s="161" t="s">
        <v>179</v>
      </c>
      <c r="C13" s="161"/>
      <c r="D13" s="163">
        <f>'Tabela sem Desoneração'!H23</f>
        <v>83177.311528000006</v>
      </c>
      <c r="E13" s="60"/>
      <c r="F13" s="33">
        <v>0.25</v>
      </c>
      <c r="G13" s="33">
        <v>0.25</v>
      </c>
      <c r="H13" s="33">
        <v>0.25</v>
      </c>
      <c r="I13" s="33">
        <v>0.25</v>
      </c>
      <c r="J13" s="60"/>
      <c r="K13" s="60"/>
      <c r="L13" s="60"/>
      <c r="M13" s="60"/>
      <c r="N13" s="60"/>
      <c r="O13" s="60"/>
      <c r="P13" s="60"/>
    </row>
    <row r="14" spans="1:16" x14ac:dyDescent="0.2">
      <c r="A14" s="162"/>
      <c r="B14" s="161"/>
      <c r="C14" s="161"/>
      <c r="D14" s="163"/>
      <c r="E14" s="19">
        <f>$D$13*E13</f>
        <v>0</v>
      </c>
      <c r="F14" s="59">
        <f t="shared" ref="F14:P14" si="1">$D$13*F13</f>
        <v>20794.327882000001</v>
      </c>
      <c r="G14" s="59">
        <f t="shared" si="1"/>
        <v>20794.327882000001</v>
      </c>
      <c r="H14" s="59">
        <f t="shared" si="1"/>
        <v>20794.327882000001</v>
      </c>
      <c r="I14" s="59">
        <f t="shared" si="1"/>
        <v>20794.327882000001</v>
      </c>
      <c r="J14" s="19">
        <f t="shared" si="1"/>
        <v>0</v>
      </c>
      <c r="K14" s="19">
        <f t="shared" si="1"/>
        <v>0</v>
      </c>
      <c r="L14" s="19">
        <f t="shared" si="1"/>
        <v>0</v>
      </c>
      <c r="M14" s="19">
        <f t="shared" si="1"/>
        <v>0</v>
      </c>
      <c r="N14" s="19">
        <f t="shared" si="1"/>
        <v>0</v>
      </c>
      <c r="O14" s="19">
        <f t="shared" si="1"/>
        <v>0</v>
      </c>
      <c r="P14" s="19">
        <f t="shared" si="1"/>
        <v>0</v>
      </c>
    </row>
    <row r="15" spans="1:16" ht="15.6" customHeight="1" x14ac:dyDescent="0.2">
      <c r="A15" s="162">
        <v>5</v>
      </c>
      <c r="B15" s="161" t="s">
        <v>52</v>
      </c>
      <c r="C15" s="161"/>
      <c r="D15" s="163">
        <f>'Tabela sem Desoneração'!H31</f>
        <v>6386.2296399999996</v>
      </c>
      <c r="E15" s="60"/>
      <c r="F15" s="60"/>
      <c r="G15" s="60"/>
      <c r="H15" s="60"/>
      <c r="I15" s="33">
        <v>1</v>
      </c>
      <c r="J15" s="60"/>
      <c r="K15" s="60"/>
      <c r="L15" s="60"/>
      <c r="M15" s="60"/>
      <c r="N15" s="60"/>
      <c r="O15" s="60"/>
      <c r="P15" s="60"/>
    </row>
    <row r="16" spans="1:16" x14ac:dyDescent="0.2">
      <c r="A16" s="162"/>
      <c r="B16" s="161"/>
      <c r="C16" s="161"/>
      <c r="D16" s="163"/>
      <c r="E16" s="19">
        <f>$D$15*E15</f>
        <v>0</v>
      </c>
      <c r="F16" s="19">
        <f t="shared" ref="F16:P16" si="2">$D$15*F15</f>
        <v>0</v>
      </c>
      <c r="G16" s="19">
        <f t="shared" si="2"/>
        <v>0</v>
      </c>
      <c r="H16" s="19">
        <f t="shared" si="2"/>
        <v>0</v>
      </c>
      <c r="I16" s="59">
        <f t="shared" si="2"/>
        <v>6386.2296399999996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2"/>
        <v>0</v>
      </c>
      <c r="N16" s="19">
        <f t="shared" si="2"/>
        <v>0</v>
      </c>
      <c r="O16" s="19">
        <f t="shared" si="2"/>
        <v>0</v>
      </c>
      <c r="P16" s="19">
        <f t="shared" si="2"/>
        <v>0</v>
      </c>
    </row>
    <row r="17" spans="1:16" ht="15.6" customHeight="1" x14ac:dyDescent="0.2">
      <c r="A17" s="162">
        <v>6</v>
      </c>
      <c r="B17" s="161" t="s">
        <v>0</v>
      </c>
      <c r="C17" s="161"/>
      <c r="D17" s="163">
        <f>'Tabela sem Desoneração'!H44</f>
        <v>517096.68753374321</v>
      </c>
      <c r="E17" s="60"/>
      <c r="F17" s="60"/>
      <c r="G17" s="60"/>
      <c r="H17" s="60"/>
      <c r="I17" s="33">
        <v>0.125</v>
      </c>
      <c r="J17" s="33">
        <v>0.125</v>
      </c>
      <c r="K17" s="33">
        <v>0.125</v>
      </c>
      <c r="L17" s="33">
        <v>0.125</v>
      </c>
      <c r="M17" s="33">
        <v>0.125</v>
      </c>
      <c r="N17" s="33">
        <v>0.125</v>
      </c>
      <c r="O17" s="33">
        <v>0.125</v>
      </c>
      <c r="P17" s="33">
        <v>0.125</v>
      </c>
    </row>
    <row r="18" spans="1:16" x14ac:dyDescent="0.2">
      <c r="A18" s="162"/>
      <c r="B18" s="161"/>
      <c r="C18" s="161"/>
      <c r="D18" s="163"/>
      <c r="E18" s="19">
        <f>$D$17*E17</f>
        <v>0</v>
      </c>
      <c r="F18" s="19">
        <f t="shared" ref="F18:P18" si="3">$D$17*F17</f>
        <v>0</v>
      </c>
      <c r="G18" s="19">
        <f t="shared" si="3"/>
        <v>0</v>
      </c>
      <c r="H18" s="19">
        <f t="shared" si="3"/>
        <v>0</v>
      </c>
      <c r="I18" s="59">
        <f t="shared" si="3"/>
        <v>64637.085941717902</v>
      </c>
      <c r="J18" s="59">
        <f t="shared" si="3"/>
        <v>64637.085941717902</v>
      </c>
      <c r="K18" s="59">
        <f t="shared" si="3"/>
        <v>64637.085941717902</v>
      </c>
      <c r="L18" s="59">
        <f t="shared" si="3"/>
        <v>64637.085941717902</v>
      </c>
      <c r="M18" s="59">
        <f t="shared" si="3"/>
        <v>64637.085941717902</v>
      </c>
      <c r="N18" s="59">
        <f t="shared" si="3"/>
        <v>64637.085941717902</v>
      </c>
      <c r="O18" s="59">
        <f t="shared" si="3"/>
        <v>64637.085941717902</v>
      </c>
      <c r="P18" s="59">
        <f t="shared" si="3"/>
        <v>64637.085941717902</v>
      </c>
    </row>
    <row r="19" spans="1:16" ht="15.6" customHeight="1" x14ac:dyDescent="0.2">
      <c r="A19" s="162">
        <v>7</v>
      </c>
      <c r="B19" s="161" t="s">
        <v>36</v>
      </c>
      <c r="C19" s="161"/>
      <c r="D19" s="163">
        <f>'Tabela sem Desoneração'!H50</f>
        <v>36284.483656000004</v>
      </c>
      <c r="E19" s="60"/>
      <c r="F19" s="60"/>
      <c r="G19" s="60"/>
      <c r="H19" s="60"/>
      <c r="I19" s="60"/>
      <c r="J19" s="60"/>
      <c r="K19" s="60"/>
      <c r="L19" s="60"/>
      <c r="M19" s="60"/>
      <c r="N19" s="33">
        <v>0.33329999999999999</v>
      </c>
      <c r="O19" s="33">
        <v>0.33329999999999999</v>
      </c>
      <c r="P19" s="33">
        <v>0.33339999999999997</v>
      </c>
    </row>
    <row r="20" spans="1:16" x14ac:dyDescent="0.2">
      <c r="A20" s="162"/>
      <c r="B20" s="161"/>
      <c r="C20" s="161"/>
      <c r="D20" s="163"/>
      <c r="E20" s="19">
        <f>$D$19*E19</f>
        <v>0</v>
      </c>
      <c r="F20" s="19">
        <f t="shared" ref="F20:P20" si="4">$D$19*F19</f>
        <v>0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19">
        <f t="shared" si="4"/>
        <v>0</v>
      </c>
      <c r="L20" s="19">
        <f t="shared" si="4"/>
        <v>0</v>
      </c>
      <c r="M20" s="19">
        <f t="shared" si="4"/>
        <v>0</v>
      </c>
      <c r="N20" s="59">
        <f t="shared" si="4"/>
        <v>12093.6184025448</v>
      </c>
      <c r="O20" s="59">
        <f t="shared" si="4"/>
        <v>12093.6184025448</v>
      </c>
      <c r="P20" s="59">
        <f t="shared" si="4"/>
        <v>12097.2468509104</v>
      </c>
    </row>
    <row r="21" spans="1:16" ht="15.75" x14ac:dyDescent="0.2">
      <c r="A21" s="15"/>
      <c r="B21" s="165" t="s">
        <v>147</v>
      </c>
      <c r="C21" s="165"/>
      <c r="D21" s="34">
        <f>SUM(D9:D20)</f>
        <v>675553.33627774322</v>
      </c>
      <c r="E21" s="61">
        <f>SUM(E10+E12+E14+E16+E18+E20)</f>
        <v>12520.098379999999</v>
      </c>
      <c r="F21" s="61">
        <f t="shared" ref="F21:P21" si="5">SUM(F10+F12+F14+F16+F18+F20)</f>
        <v>27490.503062</v>
      </c>
      <c r="G21" s="61">
        <f t="shared" si="5"/>
        <v>27490.503062</v>
      </c>
      <c r="H21" s="61">
        <f t="shared" si="5"/>
        <v>27490.503062</v>
      </c>
      <c r="I21" s="61">
        <f t="shared" si="5"/>
        <v>91817.643463717905</v>
      </c>
      <c r="J21" s="61">
        <f t="shared" si="5"/>
        <v>64637.085941717902</v>
      </c>
      <c r="K21" s="61">
        <f t="shared" si="5"/>
        <v>64637.085941717902</v>
      </c>
      <c r="L21" s="61">
        <f t="shared" si="5"/>
        <v>64637.085941717902</v>
      </c>
      <c r="M21" s="61">
        <f t="shared" si="5"/>
        <v>64637.085941717902</v>
      </c>
      <c r="N21" s="61">
        <f t="shared" si="5"/>
        <v>76730.704344262704</v>
      </c>
      <c r="O21" s="61">
        <f t="shared" si="5"/>
        <v>76730.704344262704</v>
      </c>
      <c r="P21" s="61">
        <f t="shared" si="5"/>
        <v>76734.332792628295</v>
      </c>
    </row>
    <row r="22" spans="1:16" ht="15.75" x14ac:dyDescent="0.2">
      <c r="B22" s="164" t="s">
        <v>148</v>
      </c>
      <c r="C22" s="164"/>
      <c r="D22" s="34">
        <f>'Tabela sem Desoneração'!H53</f>
        <v>818002.19430282083</v>
      </c>
      <c r="E22" s="61">
        <f>E21*(1+'Tabela sem Desoneração'!$H$52)</f>
        <v>15160.117488512517</v>
      </c>
      <c r="F22" s="61">
        <f>F21*(1+'Tabela sem Desoneração'!$H$52)</f>
        <v>33287.218964986525</v>
      </c>
      <c r="G22" s="61">
        <f>G21*(1+'Tabela sem Desoneração'!$H$52)</f>
        <v>33287.218964986525</v>
      </c>
      <c r="H22" s="61">
        <f>H21*(1+'Tabela sem Desoneração'!$H$52)</f>
        <v>33287.218964986525</v>
      </c>
      <c r="I22" s="61">
        <f>I21*(1+'Tabela sem Desoneração'!$H$52)</f>
        <v>111178.54031018539</v>
      </c>
      <c r="J22" s="61">
        <f>J21*(1+'Tabela sem Desoneração'!$H$52)</f>
        <v>78266.622773256851</v>
      </c>
      <c r="K22" s="61">
        <f>K21*(1+'Tabela sem Desoneração'!$H$52)</f>
        <v>78266.622773256851</v>
      </c>
      <c r="L22" s="61">
        <f>L21*(1+'Tabela sem Desoneração'!$H$52)</f>
        <v>78266.622773256851</v>
      </c>
      <c r="M22" s="61">
        <f>M21*(1+'Tabela sem Desoneração'!$H$52)</f>
        <v>78266.622773256851</v>
      </c>
      <c r="N22" s="61">
        <f>N21*(1+'Tabela sem Desoneração'!$H$52)</f>
        <v>92910.331654705442</v>
      </c>
      <c r="O22" s="61">
        <f>O21*(1+'Tabela sem Desoneração'!$H$52)</f>
        <v>92910.331654705442</v>
      </c>
      <c r="P22" s="61">
        <f>P21*(1+'Tabela sem Desoneração'!$H$52)</f>
        <v>92914.725206725067</v>
      </c>
    </row>
    <row r="23" spans="1:16" ht="15.75" x14ac:dyDescent="0.2">
      <c r="D23" s="35">
        <f>SUM(E23:P23)</f>
        <v>1.0000000000000002</v>
      </c>
      <c r="E23" s="36">
        <f>E22/$D$22</f>
        <v>1.8533101248503873E-2</v>
      </c>
      <c r="F23" s="36">
        <f t="shared" ref="F23:P23" si="6">F22/$D$22</f>
        <v>4.0693312556889967E-2</v>
      </c>
      <c r="G23" s="36">
        <f t="shared" si="6"/>
        <v>4.0693312556889967E-2</v>
      </c>
      <c r="H23" s="36">
        <f t="shared" si="6"/>
        <v>4.0693312556889967E-2</v>
      </c>
      <c r="I23" s="36">
        <f t="shared" si="6"/>
        <v>0.13591472135957081</v>
      </c>
      <c r="J23" s="36">
        <f t="shared" si="6"/>
        <v>9.5680211273715593E-2</v>
      </c>
      <c r="K23" s="36">
        <f t="shared" si="6"/>
        <v>9.5680211273715593E-2</v>
      </c>
      <c r="L23" s="36">
        <f t="shared" si="6"/>
        <v>9.5680211273715593E-2</v>
      </c>
      <c r="M23" s="36">
        <f t="shared" si="6"/>
        <v>9.5680211273715593E-2</v>
      </c>
      <c r="N23" s="36">
        <f t="shared" si="6"/>
        <v>0.11358200785010418</v>
      </c>
      <c r="O23" s="36">
        <f t="shared" si="6"/>
        <v>0.11358200785010418</v>
      </c>
      <c r="P23" s="36">
        <f t="shared" si="6"/>
        <v>0.11358737892618469</v>
      </c>
    </row>
    <row r="24" spans="1:16" ht="15" customHeight="1" x14ac:dyDescent="0.2">
      <c r="A24" s="98" t="s">
        <v>245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</row>
    <row r="25" spans="1:16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</row>
    <row r="26" spans="1:16" x14ac:dyDescent="0.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</row>
    <row r="27" spans="1:16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</row>
    <row r="28" spans="1:16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</row>
    <row r="29" spans="1:16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</row>
    <row r="30" spans="1:16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</row>
    <row r="31" spans="1:16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</row>
  </sheetData>
  <mergeCells count="27">
    <mergeCell ref="A24:P31"/>
    <mergeCell ref="B22:C22"/>
    <mergeCell ref="A15:A16"/>
    <mergeCell ref="A17:A18"/>
    <mergeCell ref="A19:A20"/>
    <mergeCell ref="B21:C21"/>
    <mergeCell ref="D15:D16"/>
    <mergeCell ref="D17:D18"/>
    <mergeCell ref="D19:D20"/>
    <mergeCell ref="D11:D12"/>
    <mergeCell ref="A13:A14"/>
    <mergeCell ref="D13:D14"/>
    <mergeCell ref="D9:D10"/>
    <mergeCell ref="B9:C10"/>
    <mergeCell ref="B13:C14"/>
    <mergeCell ref="B8:C8"/>
    <mergeCell ref="B15:C16"/>
    <mergeCell ref="B17:C18"/>
    <mergeCell ref="B19:C20"/>
    <mergeCell ref="A9:A10"/>
    <mergeCell ref="A11:A12"/>
    <mergeCell ref="B11:C12"/>
    <mergeCell ref="A1:C7"/>
    <mergeCell ref="D1:P1"/>
    <mergeCell ref="D2:P3"/>
    <mergeCell ref="D4:P5"/>
    <mergeCell ref="D6:P7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0E93E-3D9C-47EB-A22F-8D09EC032E87}">
  <dimension ref="A1:H18"/>
  <sheetViews>
    <sheetView workbookViewId="0">
      <selection activeCell="A9" sqref="A9:H9"/>
    </sheetView>
  </sheetViews>
  <sheetFormatPr defaultColWidth="9.140625" defaultRowHeight="14.25" x14ac:dyDescent="0.2"/>
  <cols>
    <col min="1" max="1" width="11.5703125" style="42" bestFit="1" customWidth="1"/>
    <col min="2" max="3" width="11.42578125" style="42" bestFit="1" customWidth="1"/>
    <col min="4" max="4" width="13.28515625" style="42" bestFit="1" customWidth="1"/>
    <col min="5" max="5" width="11" style="42" bestFit="1" customWidth="1"/>
    <col min="6" max="6" width="11.7109375" style="42" customWidth="1"/>
    <col min="7" max="16384" width="9.140625" style="42"/>
  </cols>
  <sheetData>
    <row r="1" spans="1:8" ht="15.75" x14ac:dyDescent="0.2">
      <c r="A1" s="85" t="s">
        <v>160</v>
      </c>
      <c r="B1" s="85"/>
      <c r="C1" s="85"/>
      <c r="D1" s="85"/>
      <c r="E1" s="85"/>
    </row>
    <row r="2" spans="1:8" ht="25.5" x14ac:dyDescent="0.2">
      <c r="A2" s="66" t="s">
        <v>152</v>
      </c>
      <c r="B2" s="64" t="s">
        <v>157</v>
      </c>
      <c r="C2" s="66" t="s">
        <v>158</v>
      </c>
      <c r="D2" s="64" t="s">
        <v>207</v>
      </c>
      <c r="E2" s="66" t="s">
        <v>203</v>
      </c>
    </row>
    <row r="3" spans="1:8" x14ac:dyDescent="0.2">
      <c r="A3" s="66" t="s">
        <v>153</v>
      </c>
      <c r="B3" s="66">
        <v>16</v>
      </c>
      <c r="C3" s="66">
        <v>3</v>
      </c>
      <c r="D3" s="66">
        <f>C3/0.2</f>
        <v>15</v>
      </c>
      <c r="E3" s="66">
        <f>D3*B3</f>
        <v>240</v>
      </c>
    </row>
    <row r="4" spans="1:8" x14ac:dyDescent="0.2">
      <c r="A4" s="66" t="s">
        <v>154</v>
      </c>
      <c r="B4" s="66">
        <v>16</v>
      </c>
      <c r="C4" s="66">
        <v>3</v>
      </c>
      <c r="D4" s="66">
        <f>C4/0.2</f>
        <v>15</v>
      </c>
      <c r="E4" s="66">
        <f t="shared" ref="E4:E7" si="0">D4*B4</f>
        <v>240</v>
      </c>
    </row>
    <row r="5" spans="1:8" x14ac:dyDescent="0.2">
      <c r="A5" s="66" t="s">
        <v>155</v>
      </c>
      <c r="B5" s="64">
        <v>24</v>
      </c>
      <c r="C5" s="64">
        <v>3</v>
      </c>
      <c r="D5" s="66">
        <f t="shared" ref="D5:D7" si="1">C5/0.2</f>
        <v>15</v>
      </c>
      <c r="E5" s="66">
        <f t="shared" si="0"/>
        <v>360</v>
      </c>
    </row>
    <row r="6" spans="1:8" x14ac:dyDescent="0.2">
      <c r="A6" s="66" t="s">
        <v>155</v>
      </c>
      <c r="B6" s="64">
        <v>24</v>
      </c>
      <c r="C6" s="64">
        <v>3</v>
      </c>
      <c r="D6" s="66">
        <f t="shared" si="1"/>
        <v>15</v>
      </c>
      <c r="E6" s="66">
        <f t="shared" si="0"/>
        <v>360</v>
      </c>
    </row>
    <row r="7" spans="1:8" x14ac:dyDescent="0.2">
      <c r="A7" s="66" t="s">
        <v>155</v>
      </c>
      <c r="B7" s="66">
        <v>24</v>
      </c>
      <c r="C7" s="64">
        <v>3</v>
      </c>
      <c r="D7" s="66">
        <f t="shared" si="1"/>
        <v>15</v>
      </c>
      <c r="E7" s="66">
        <f t="shared" si="0"/>
        <v>360</v>
      </c>
    </row>
    <row r="9" spans="1:8" ht="15.75" x14ac:dyDescent="0.2">
      <c r="A9" s="85" t="s">
        <v>187</v>
      </c>
      <c r="B9" s="85"/>
      <c r="C9" s="85"/>
      <c r="D9" s="85"/>
      <c r="E9" s="85"/>
      <c r="F9" s="85"/>
      <c r="G9" s="85"/>
      <c r="H9" s="85"/>
    </row>
    <row r="10" spans="1:8" ht="38.25" x14ac:dyDescent="0.2">
      <c r="A10" s="66" t="s">
        <v>152</v>
      </c>
      <c r="B10" s="66" t="s">
        <v>10</v>
      </c>
      <c r="C10" s="66" t="s">
        <v>188</v>
      </c>
      <c r="D10" s="64" t="s">
        <v>201</v>
      </c>
      <c r="E10" s="69" t="s">
        <v>202</v>
      </c>
      <c r="F10" s="73" t="s">
        <v>167</v>
      </c>
      <c r="G10" s="73" t="s">
        <v>204</v>
      </c>
      <c r="H10" s="73" t="s">
        <v>208</v>
      </c>
    </row>
    <row r="11" spans="1:8" x14ac:dyDescent="0.2">
      <c r="A11" s="66" t="s">
        <v>162</v>
      </c>
      <c r="B11" s="71">
        <f>B3+B4</f>
        <v>32</v>
      </c>
      <c r="C11" s="71">
        <f>C3*B11</f>
        <v>96</v>
      </c>
      <c r="D11" s="71">
        <f>4*B11</f>
        <v>128</v>
      </c>
      <c r="E11" s="66">
        <f>D11*'Massa Nominal Aço'!B8</f>
        <v>78.975999999999999</v>
      </c>
      <c r="F11" s="66">
        <f>E3+E4</f>
        <v>480</v>
      </c>
      <c r="G11" s="66">
        <f>F11*0.7</f>
        <v>336</v>
      </c>
      <c r="H11" s="66">
        <f>G11*'Massa Nominal Aço'!E7</f>
        <v>51.744</v>
      </c>
    </row>
    <row r="12" spans="1:8" x14ac:dyDescent="0.2">
      <c r="A12" s="71" t="s">
        <v>155</v>
      </c>
      <c r="B12" s="71">
        <f>B5+B6+B7</f>
        <v>72</v>
      </c>
      <c r="C12" s="71">
        <f>C5*B12</f>
        <v>216</v>
      </c>
      <c r="D12" s="71">
        <f>4*B12</f>
        <v>288</v>
      </c>
      <c r="E12" s="66">
        <f>D12*'Massa Nominal Aço'!B9</f>
        <v>277.34399999999999</v>
      </c>
      <c r="F12" s="66">
        <f>E5+E6+E7</f>
        <v>1080</v>
      </c>
      <c r="G12" s="66">
        <f>F12*0.7</f>
        <v>756</v>
      </c>
      <c r="H12" s="66">
        <f>G12*'Massa Nominal Aço'!E8</f>
        <v>167.83199999999999</v>
      </c>
    </row>
    <row r="13" spans="1:8" x14ac:dyDescent="0.2">
      <c r="A13" s="71" t="s">
        <v>189</v>
      </c>
      <c r="B13" s="71">
        <f>B11+B12</f>
        <v>104</v>
      </c>
      <c r="C13" s="71">
        <f>C11+C12</f>
        <v>312</v>
      </c>
      <c r="D13" s="71">
        <f t="shared" ref="D13:H13" si="2">D11+D12</f>
        <v>416</v>
      </c>
      <c r="E13" s="66">
        <f t="shared" si="2"/>
        <v>356.32</v>
      </c>
      <c r="F13" s="66">
        <f t="shared" si="2"/>
        <v>1560</v>
      </c>
      <c r="G13" s="66">
        <f t="shared" si="2"/>
        <v>1092</v>
      </c>
      <c r="H13" s="66">
        <f t="shared" si="2"/>
        <v>219.57599999999999</v>
      </c>
    </row>
    <row r="14" spans="1:8" x14ac:dyDescent="0.2">
      <c r="A14" s="51"/>
      <c r="B14" s="51"/>
      <c r="C14" s="51"/>
    </row>
    <row r="15" spans="1:8" x14ac:dyDescent="0.2">
      <c r="A15" s="51"/>
      <c r="B15" s="51"/>
      <c r="C15" s="51"/>
    </row>
    <row r="16" spans="1:8" x14ac:dyDescent="0.2">
      <c r="A16" s="51"/>
      <c r="B16" s="51"/>
      <c r="C16" s="51"/>
    </row>
    <row r="17" spans="1:3" x14ac:dyDescent="0.2">
      <c r="A17" s="51"/>
      <c r="B17" s="51"/>
      <c r="C17" s="51"/>
    </row>
    <row r="18" spans="1:3" x14ac:dyDescent="0.2">
      <c r="A18" s="51"/>
      <c r="B18" s="51"/>
      <c r="C18" s="51"/>
    </row>
  </sheetData>
  <mergeCells count="2">
    <mergeCell ref="A1:E1"/>
    <mergeCell ref="A9:H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C8EAE-6236-4C10-A48F-D24D8E593152}">
  <dimension ref="A1:I13"/>
  <sheetViews>
    <sheetView workbookViewId="0">
      <selection activeCell="A9" sqref="A9:I9"/>
    </sheetView>
  </sheetViews>
  <sheetFormatPr defaultColWidth="9.140625" defaultRowHeight="14.25" x14ac:dyDescent="0.25"/>
  <cols>
    <col min="1" max="1" width="11.5703125" style="52" customWidth="1"/>
    <col min="2" max="3" width="9.140625" style="52"/>
    <col min="4" max="5" width="13.5703125" style="52" customWidth="1"/>
    <col min="6" max="6" width="12" style="52" customWidth="1"/>
    <col min="7" max="7" width="12.85546875" style="52" customWidth="1"/>
    <col min="8" max="8" width="9.140625" style="52"/>
    <col min="9" max="9" width="11.42578125" style="52" customWidth="1"/>
    <col min="10" max="16384" width="9.140625" style="52"/>
  </cols>
  <sheetData>
    <row r="1" spans="1:9" ht="15.75" x14ac:dyDescent="0.25">
      <c r="A1" s="85" t="s">
        <v>161</v>
      </c>
      <c r="B1" s="85"/>
      <c r="C1" s="85"/>
      <c r="D1" s="85"/>
      <c r="E1" s="85"/>
      <c r="F1" s="85"/>
      <c r="G1" s="85"/>
      <c r="H1" s="85"/>
      <c r="I1" s="85"/>
    </row>
    <row r="2" spans="1:9" ht="42.75" x14ac:dyDescent="0.25">
      <c r="A2" s="52" t="s">
        <v>152</v>
      </c>
      <c r="B2" s="52" t="s">
        <v>163</v>
      </c>
      <c r="C2" s="52" t="s">
        <v>164</v>
      </c>
      <c r="D2" s="52" t="s">
        <v>165</v>
      </c>
      <c r="E2" s="52" t="s">
        <v>168</v>
      </c>
      <c r="F2" s="73" t="s">
        <v>166</v>
      </c>
      <c r="G2" s="73" t="s">
        <v>167</v>
      </c>
      <c r="H2" s="73" t="s">
        <v>204</v>
      </c>
      <c r="I2" s="73" t="s">
        <v>226</v>
      </c>
    </row>
    <row r="3" spans="1:9" x14ac:dyDescent="0.25">
      <c r="A3" s="52" t="s">
        <v>162</v>
      </c>
      <c r="B3" s="52">
        <v>0.2</v>
      </c>
      <c r="C3" s="52">
        <v>0.3</v>
      </c>
      <c r="D3" s="52">
        <f>2*14.14</f>
        <v>28.28</v>
      </c>
      <c r="E3" s="52">
        <f>2.58*8</f>
        <v>20.64</v>
      </c>
      <c r="F3" s="52">
        <v>4</v>
      </c>
      <c r="G3" s="67">
        <f>(D3/0.125)+(E3/0.125)</f>
        <v>391.36</v>
      </c>
      <c r="H3" s="52">
        <f>0.8*G3</f>
        <v>313.08800000000002</v>
      </c>
      <c r="I3" s="52">
        <f>(C3*D3*2)+(C3*E3*2)</f>
        <v>29.352</v>
      </c>
    </row>
    <row r="4" spans="1:9" x14ac:dyDescent="0.25">
      <c r="A4" s="52" t="s">
        <v>162</v>
      </c>
      <c r="B4" s="52">
        <v>0.2</v>
      </c>
      <c r="C4" s="52">
        <v>0.3</v>
      </c>
      <c r="D4" s="52">
        <f>2*14.14</f>
        <v>28.28</v>
      </c>
      <c r="E4" s="52">
        <f>8*2.58</f>
        <v>20.64</v>
      </c>
      <c r="F4" s="52">
        <v>4</v>
      </c>
      <c r="G4" s="67">
        <f t="shared" ref="G4:G7" si="0">(D4/0.125)+(E4/0.125)</f>
        <v>391.36</v>
      </c>
      <c r="H4" s="52">
        <f t="shared" ref="H4:H7" si="1">0.8*G4</f>
        <v>313.08800000000002</v>
      </c>
      <c r="I4" s="52">
        <f t="shared" ref="I4:I7" si="2">(C4*D4*2)+(C4*E4*2)</f>
        <v>29.352</v>
      </c>
    </row>
    <row r="5" spans="1:9" x14ac:dyDescent="0.25">
      <c r="A5" s="52" t="s">
        <v>155</v>
      </c>
      <c r="B5" s="52">
        <v>0.2</v>
      </c>
      <c r="C5" s="52">
        <v>0.3</v>
      </c>
      <c r="D5" s="52">
        <f>22.8*2</f>
        <v>45.6</v>
      </c>
      <c r="E5" s="52">
        <f>12*2.58</f>
        <v>30.96</v>
      </c>
      <c r="F5" s="52">
        <v>4</v>
      </c>
      <c r="G5" s="67">
        <f t="shared" si="0"/>
        <v>612.48</v>
      </c>
      <c r="H5" s="52">
        <f t="shared" si="1"/>
        <v>489.98400000000004</v>
      </c>
      <c r="I5" s="52">
        <f t="shared" si="2"/>
        <v>45.936</v>
      </c>
    </row>
    <row r="6" spans="1:9" x14ac:dyDescent="0.25">
      <c r="A6" s="52" t="s">
        <v>155</v>
      </c>
      <c r="B6" s="52">
        <v>0.2</v>
      </c>
      <c r="C6" s="52">
        <v>0.3</v>
      </c>
      <c r="D6" s="52">
        <f>2*20.11</f>
        <v>40.22</v>
      </c>
      <c r="E6" s="52">
        <f>12*2.58</f>
        <v>30.96</v>
      </c>
      <c r="F6" s="52">
        <v>4</v>
      </c>
      <c r="G6" s="67">
        <f t="shared" si="0"/>
        <v>569.44000000000005</v>
      </c>
      <c r="H6" s="52">
        <f t="shared" si="1"/>
        <v>455.55200000000008</v>
      </c>
      <c r="I6" s="52">
        <f t="shared" si="2"/>
        <v>42.707999999999998</v>
      </c>
    </row>
    <row r="7" spans="1:9" x14ac:dyDescent="0.25">
      <c r="A7" s="52" t="s">
        <v>155</v>
      </c>
      <c r="B7" s="52">
        <v>0.2</v>
      </c>
      <c r="C7" s="52">
        <v>0.3</v>
      </c>
      <c r="D7" s="52">
        <f>2*20.11</f>
        <v>40.22</v>
      </c>
      <c r="E7" s="52">
        <f>12*2.58</f>
        <v>30.96</v>
      </c>
      <c r="F7" s="52">
        <v>4</v>
      </c>
      <c r="G7" s="67">
        <f t="shared" si="0"/>
        <v>569.44000000000005</v>
      </c>
      <c r="H7" s="52">
        <f t="shared" si="1"/>
        <v>455.55200000000008</v>
      </c>
      <c r="I7" s="52">
        <f t="shared" si="2"/>
        <v>42.707999999999998</v>
      </c>
    </row>
    <row r="9" spans="1:9" ht="15.75" x14ac:dyDescent="0.25">
      <c r="A9" s="85" t="s">
        <v>187</v>
      </c>
      <c r="B9" s="85"/>
      <c r="C9" s="85"/>
      <c r="D9" s="85"/>
      <c r="E9" s="85"/>
      <c r="F9" s="85"/>
      <c r="G9" s="85"/>
      <c r="H9" s="85"/>
      <c r="I9" s="85"/>
    </row>
    <row r="10" spans="1:9" ht="57" x14ac:dyDescent="0.25">
      <c r="A10" s="52" t="s">
        <v>152</v>
      </c>
      <c r="B10" s="73" t="s">
        <v>200</v>
      </c>
      <c r="C10" s="73" t="s">
        <v>199</v>
      </c>
      <c r="D10" s="73" t="s">
        <v>198</v>
      </c>
      <c r="E10" s="73" t="s">
        <v>196</v>
      </c>
      <c r="F10" s="73" t="s">
        <v>197</v>
      </c>
      <c r="G10" s="52" t="s">
        <v>205</v>
      </c>
      <c r="H10" s="73" t="s">
        <v>206</v>
      </c>
      <c r="I10" s="73" t="s">
        <v>226</v>
      </c>
    </row>
    <row r="11" spans="1:9" x14ac:dyDescent="0.25">
      <c r="A11" s="52" t="s">
        <v>159</v>
      </c>
      <c r="B11" s="52">
        <f>(B3*C3*(D3+E3))*2</f>
        <v>5.8704000000000001</v>
      </c>
      <c r="C11" s="52">
        <f>B11*1.25</f>
        <v>7.3380000000000001</v>
      </c>
      <c r="D11" s="52">
        <f>(D3+E3+D4+E4)*4</f>
        <v>391.36</v>
      </c>
      <c r="E11" s="50">
        <f>D11*'Massa Nominal Aço'!B8</f>
        <v>241.46912</v>
      </c>
      <c r="F11" s="52">
        <f>D3+E3+D4+E4</f>
        <v>97.84</v>
      </c>
      <c r="G11" s="52">
        <f>H3+H4</f>
        <v>626.17600000000004</v>
      </c>
      <c r="H11" s="52">
        <f>G11*'Massa Nominal Aço'!E7</f>
        <v>96.431104000000005</v>
      </c>
      <c r="I11" s="52">
        <f>I3+I4</f>
        <v>58.704000000000001</v>
      </c>
    </row>
    <row r="12" spans="1:9" x14ac:dyDescent="0.25">
      <c r="A12" s="52" t="s">
        <v>155</v>
      </c>
      <c r="B12" s="52">
        <f>(B5*C5*(D5+E5))+(2*(B6*C6*(D6+E6)))</f>
        <v>13.135200000000001</v>
      </c>
      <c r="C12" s="52">
        <f>B12*1.25</f>
        <v>16.419</v>
      </c>
      <c r="D12" s="52">
        <f>(D5+E5+D6+E6+D7+E7)*4</f>
        <v>875.68000000000006</v>
      </c>
      <c r="E12" s="50">
        <f>D12*'Massa Nominal Aço'!B8</f>
        <v>540.29456000000005</v>
      </c>
      <c r="F12" s="52">
        <f>D5+E5+D6+E6+D7+E7</f>
        <v>218.92000000000002</v>
      </c>
      <c r="G12" s="52">
        <f>H5+H6+H7</f>
        <v>1401.0880000000002</v>
      </c>
      <c r="H12" s="52">
        <f>G12*'Massa Nominal Aço'!E8</f>
        <v>311.04153600000006</v>
      </c>
      <c r="I12" s="52">
        <f>I5+I6+I7</f>
        <v>131.352</v>
      </c>
    </row>
    <row r="13" spans="1:9" x14ac:dyDescent="0.25">
      <c r="A13" s="52" t="s">
        <v>189</v>
      </c>
      <c r="B13" s="52">
        <f>SUM(B11:B12)</f>
        <v>19.005600000000001</v>
      </c>
      <c r="C13" s="52">
        <f t="shared" ref="C13:I13" si="3">SUM(C11:C12)</f>
        <v>23.757000000000001</v>
      </c>
      <c r="D13" s="52">
        <f t="shared" si="3"/>
        <v>1267.04</v>
      </c>
      <c r="E13" s="50">
        <f t="shared" si="3"/>
        <v>781.76368000000002</v>
      </c>
      <c r="F13" s="50">
        <f t="shared" si="3"/>
        <v>316.76</v>
      </c>
      <c r="G13" s="50">
        <f t="shared" si="3"/>
        <v>2027.2640000000001</v>
      </c>
      <c r="H13" s="50">
        <f t="shared" si="3"/>
        <v>407.47264000000007</v>
      </c>
      <c r="I13" s="50">
        <f t="shared" si="3"/>
        <v>190.05600000000001</v>
      </c>
    </row>
  </sheetData>
  <mergeCells count="2">
    <mergeCell ref="A1:I1"/>
    <mergeCell ref="A9:I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workbookViewId="0">
      <selection activeCell="A9" sqref="A9:F9"/>
    </sheetView>
  </sheetViews>
  <sheetFormatPr defaultColWidth="8.85546875" defaultRowHeight="14.25" x14ac:dyDescent="0.2"/>
  <cols>
    <col min="1" max="1" width="11.28515625" style="65" customWidth="1"/>
    <col min="2" max="2" width="8.85546875" style="65"/>
    <col min="3" max="5" width="11.7109375" style="65" customWidth="1"/>
    <col min="6" max="8" width="11.85546875" style="65" customWidth="1"/>
    <col min="9" max="9" width="11.7109375" style="65" customWidth="1"/>
    <col min="10" max="10" width="11.7109375" style="42" customWidth="1"/>
    <col min="11" max="11" width="11.85546875" style="65" customWidth="1"/>
    <col min="12" max="12" width="11.7109375" style="65" customWidth="1"/>
    <col min="13" max="13" width="11.85546875" style="65" customWidth="1"/>
    <col min="14" max="15" width="11.5703125" style="65" customWidth="1"/>
    <col min="16" max="16384" width="8.85546875" style="65"/>
  </cols>
  <sheetData>
    <row r="1" spans="1:15" ht="15.6" customHeight="1" x14ac:dyDescent="0.25">
      <c r="A1" s="86" t="s">
        <v>150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15"/>
      <c r="N1" s="15"/>
      <c r="O1" s="15"/>
    </row>
    <row r="2" spans="1:15" ht="51" x14ac:dyDescent="0.2">
      <c r="A2" s="66" t="s">
        <v>152</v>
      </c>
      <c r="B2" s="64" t="s">
        <v>151</v>
      </c>
      <c r="C2" s="64" t="s">
        <v>125</v>
      </c>
      <c r="D2" s="64" t="s">
        <v>126</v>
      </c>
      <c r="E2" s="64" t="s">
        <v>127</v>
      </c>
      <c r="F2" s="64" t="s">
        <v>156</v>
      </c>
      <c r="G2" s="64" t="s">
        <v>228</v>
      </c>
      <c r="H2" s="64" t="s">
        <v>229</v>
      </c>
      <c r="I2" s="64" t="s">
        <v>128</v>
      </c>
      <c r="J2" s="64" t="s">
        <v>129</v>
      </c>
      <c r="K2" s="64" t="s">
        <v>210</v>
      </c>
      <c r="L2" s="64" t="s">
        <v>232</v>
      </c>
      <c r="M2" s="64"/>
      <c r="N2" s="64"/>
    </row>
    <row r="3" spans="1:15" ht="13.15" customHeight="1" x14ac:dyDescent="0.2">
      <c r="A3" s="66" t="s">
        <v>153</v>
      </c>
      <c r="B3" s="64">
        <v>5</v>
      </c>
      <c r="C3" s="64">
        <v>0.1</v>
      </c>
      <c r="D3" s="64">
        <v>2.58</v>
      </c>
      <c r="E3" s="64">
        <v>14.14</v>
      </c>
      <c r="F3" s="68">
        <f>D3*E3</f>
        <v>36.481200000000001</v>
      </c>
      <c r="G3" s="68">
        <f>D3*E3*C3</f>
        <v>3.6481200000000005</v>
      </c>
      <c r="H3" s="68">
        <f>G3*B3</f>
        <v>18.240600000000001</v>
      </c>
      <c r="I3" s="68">
        <f>D3*10</f>
        <v>25.8</v>
      </c>
      <c r="J3" s="68">
        <f>E3*10</f>
        <v>141.4</v>
      </c>
      <c r="K3" s="64">
        <f>(I3+J3)*'Massa Nominal Aço'!B8</f>
        <v>103.16240000000001</v>
      </c>
      <c r="L3" s="64">
        <f>F3*B3</f>
        <v>182.40600000000001</v>
      </c>
      <c r="M3" s="64"/>
      <c r="N3" s="64"/>
      <c r="O3" s="64"/>
    </row>
    <row r="4" spans="1:15" ht="13.15" customHeight="1" x14ac:dyDescent="0.2">
      <c r="A4" s="66" t="s">
        <v>154</v>
      </c>
      <c r="B4" s="64">
        <v>5</v>
      </c>
      <c r="C4" s="64">
        <v>0.1</v>
      </c>
      <c r="D4" s="64">
        <v>2.58</v>
      </c>
      <c r="E4" s="64">
        <v>14.14</v>
      </c>
      <c r="F4" s="68">
        <f t="shared" ref="F4:F7" si="0">D4*E4</f>
        <v>36.481200000000001</v>
      </c>
      <c r="G4" s="68">
        <f t="shared" ref="G4:G7" si="1">D4*E4*C4</f>
        <v>3.6481200000000005</v>
      </c>
      <c r="H4" s="68">
        <f t="shared" ref="H4:H7" si="2">G4*B4</f>
        <v>18.240600000000001</v>
      </c>
      <c r="I4" s="68">
        <f t="shared" ref="I4:I7" si="3">D4*10</f>
        <v>25.8</v>
      </c>
      <c r="J4" s="68">
        <f t="shared" ref="J4:J7" si="4">E4*10</f>
        <v>141.4</v>
      </c>
      <c r="K4" s="64">
        <f>(I4+J4)*'Massa Nominal Aço'!B9</f>
        <v>161.0136</v>
      </c>
      <c r="L4" s="64">
        <f t="shared" ref="L4:L7" si="5">F4*B4</f>
        <v>182.40600000000001</v>
      </c>
      <c r="M4" s="64"/>
      <c r="N4" s="64"/>
      <c r="O4" s="64"/>
    </row>
    <row r="5" spans="1:15" ht="13.15" customHeight="1" x14ac:dyDescent="0.2">
      <c r="A5" s="66" t="s">
        <v>155</v>
      </c>
      <c r="B5" s="64">
        <v>4</v>
      </c>
      <c r="C5" s="64">
        <v>0.1</v>
      </c>
      <c r="D5" s="64">
        <v>2.58</v>
      </c>
      <c r="E5" s="64">
        <v>7.37</v>
      </c>
      <c r="F5" s="68">
        <f t="shared" si="0"/>
        <v>19.014600000000002</v>
      </c>
      <c r="G5" s="68">
        <f t="shared" si="1"/>
        <v>1.9014600000000002</v>
      </c>
      <c r="H5" s="68">
        <f t="shared" si="2"/>
        <v>7.6058400000000006</v>
      </c>
      <c r="I5" s="68">
        <f t="shared" si="3"/>
        <v>25.8</v>
      </c>
      <c r="J5" s="68">
        <f t="shared" si="4"/>
        <v>73.7</v>
      </c>
      <c r="K5" s="64">
        <f>(I5+J5)*'Massa Nominal Aço'!B10</f>
        <v>157.011</v>
      </c>
      <c r="L5" s="64">
        <f t="shared" si="5"/>
        <v>76.058400000000006</v>
      </c>
      <c r="M5" s="64"/>
      <c r="N5" s="64"/>
      <c r="O5" s="64"/>
    </row>
    <row r="6" spans="1:15" ht="13.15" customHeight="1" x14ac:dyDescent="0.2">
      <c r="A6" s="66" t="s">
        <v>155</v>
      </c>
      <c r="B6" s="64">
        <v>5</v>
      </c>
      <c r="C6" s="64">
        <v>0.1</v>
      </c>
      <c r="D6" s="64">
        <v>2.58</v>
      </c>
      <c r="E6" s="64">
        <v>16.170000000000002</v>
      </c>
      <c r="F6" s="68">
        <f t="shared" si="0"/>
        <v>41.718600000000002</v>
      </c>
      <c r="G6" s="68">
        <f t="shared" si="1"/>
        <v>4.1718600000000006</v>
      </c>
      <c r="H6" s="68">
        <f t="shared" si="2"/>
        <v>20.859300000000005</v>
      </c>
      <c r="I6" s="68">
        <f t="shared" si="3"/>
        <v>25.8</v>
      </c>
      <c r="J6" s="68">
        <f t="shared" si="4"/>
        <v>161.70000000000002</v>
      </c>
      <c r="K6" s="64">
        <f>(I6+J6)*'Massa Nominal Aço'!B11</f>
        <v>462.37500000000011</v>
      </c>
      <c r="L6" s="64">
        <f t="shared" si="5"/>
        <v>208.59300000000002</v>
      </c>
      <c r="M6" s="64"/>
      <c r="N6" s="64"/>
      <c r="O6" s="64"/>
    </row>
    <row r="7" spans="1:15" ht="13.9" customHeight="1" x14ac:dyDescent="0.2">
      <c r="A7" s="66" t="s">
        <v>155</v>
      </c>
      <c r="B7" s="66">
        <v>5</v>
      </c>
      <c r="C7" s="64">
        <v>0.1</v>
      </c>
      <c r="D7" s="52">
        <v>2.58</v>
      </c>
      <c r="E7" s="52">
        <v>22.14</v>
      </c>
      <c r="F7" s="68">
        <f t="shared" si="0"/>
        <v>57.121200000000002</v>
      </c>
      <c r="G7" s="68">
        <f t="shared" si="1"/>
        <v>5.7121200000000005</v>
      </c>
      <c r="H7" s="68">
        <f t="shared" si="2"/>
        <v>28.560600000000001</v>
      </c>
      <c r="I7" s="68">
        <f t="shared" si="3"/>
        <v>25.8</v>
      </c>
      <c r="J7" s="68">
        <f t="shared" si="4"/>
        <v>221.4</v>
      </c>
      <c r="K7" s="64">
        <f>(I7+J7)*'Massa Nominal Aço'!B12</f>
        <v>952.46160000000009</v>
      </c>
      <c r="L7" s="64">
        <f t="shared" si="5"/>
        <v>285.60599999999999</v>
      </c>
      <c r="M7" s="50"/>
      <c r="N7" s="50"/>
      <c r="O7" s="50"/>
    </row>
    <row r="8" spans="1:15" ht="13.9" customHeight="1" x14ac:dyDescent="0.2">
      <c r="A8" s="66"/>
      <c r="B8" s="66"/>
      <c r="C8" s="52"/>
      <c r="D8" s="52"/>
      <c r="E8" s="52"/>
      <c r="F8" s="50"/>
      <c r="G8" s="50"/>
      <c r="H8" s="50"/>
      <c r="I8" s="50"/>
      <c r="J8" s="52"/>
      <c r="K8" s="52"/>
      <c r="L8" s="50"/>
      <c r="M8" s="50"/>
      <c r="N8" s="50"/>
      <c r="O8" s="50"/>
    </row>
    <row r="9" spans="1:15" ht="15.75" x14ac:dyDescent="0.2">
      <c r="A9" s="85" t="s">
        <v>187</v>
      </c>
      <c r="B9" s="85"/>
      <c r="C9" s="85"/>
      <c r="D9" s="85"/>
      <c r="E9" s="85"/>
      <c r="F9" s="85"/>
    </row>
    <row r="10" spans="1:15" s="66" customFormat="1" ht="38.25" x14ac:dyDescent="0.25">
      <c r="A10" s="66" t="s">
        <v>152</v>
      </c>
      <c r="B10" s="64" t="s">
        <v>209</v>
      </c>
      <c r="C10" s="64" t="s">
        <v>211</v>
      </c>
      <c r="D10" s="66" t="s">
        <v>212</v>
      </c>
      <c r="E10" s="64" t="s">
        <v>230</v>
      </c>
      <c r="F10" s="64" t="s">
        <v>231</v>
      </c>
    </row>
    <row r="11" spans="1:15" ht="14.45" customHeight="1" x14ac:dyDescent="0.2">
      <c r="A11" s="66" t="s">
        <v>162</v>
      </c>
      <c r="B11" s="74">
        <f>G3+G4</f>
        <v>7.2962400000000009</v>
      </c>
      <c r="C11" s="74">
        <f>F3+F4</f>
        <v>72.962400000000002</v>
      </c>
      <c r="D11" s="66">
        <f>K3+K4</f>
        <v>264.17599999999999</v>
      </c>
      <c r="E11" s="74">
        <f>H3+H4</f>
        <v>36.481200000000001</v>
      </c>
      <c r="F11" s="66">
        <f>L3+L4</f>
        <v>364.81200000000001</v>
      </c>
      <c r="G11" s="66"/>
      <c r="H11" s="66"/>
      <c r="I11" s="66"/>
      <c r="J11" s="66"/>
      <c r="K11" s="66"/>
      <c r="L11" s="66"/>
    </row>
    <row r="12" spans="1:15" ht="13.15" customHeight="1" x14ac:dyDescent="0.2">
      <c r="A12" s="66" t="s">
        <v>155</v>
      </c>
      <c r="B12" s="74">
        <f>G5+G6+G7</f>
        <v>11.785440000000001</v>
      </c>
      <c r="C12" s="74">
        <f>F5+F6+F7</f>
        <v>117.8544</v>
      </c>
      <c r="D12" s="64">
        <f>K5+K6+K7</f>
        <v>1571.8476000000001</v>
      </c>
      <c r="E12" s="68">
        <f>H5+H6+H7</f>
        <v>57.025740000000006</v>
      </c>
      <c r="F12" s="64">
        <f>L5+L6+L7</f>
        <v>570.25739999999996</v>
      </c>
      <c r="G12" s="64"/>
      <c r="H12" s="64"/>
      <c r="I12" s="64"/>
      <c r="J12" s="64"/>
      <c r="K12" s="64"/>
      <c r="L12" s="66"/>
    </row>
    <row r="13" spans="1:15" ht="14.45" customHeight="1" x14ac:dyDescent="0.2">
      <c r="A13" s="66" t="s">
        <v>189</v>
      </c>
      <c r="B13" s="74">
        <f>SUM(B11:B12)</f>
        <v>19.081680000000002</v>
      </c>
      <c r="C13" s="74">
        <f>SUM(C11:C12)</f>
        <v>190.8168</v>
      </c>
      <c r="D13" s="74">
        <f>SUM(D11:D12)</f>
        <v>1836.0236</v>
      </c>
      <c r="E13" s="74">
        <f>SUM(E11:E12)</f>
        <v>93.506940000000014</v>
      </c>
      <c r="F13" s="74">
        <f>SUM(F11:F12)</f>
        <v>935.06939999999997</v>
      </c>
      <c r="G13" s="64"/>
      <c r="H13" s="64"/>
      <c r="I13" s="64"/>
      <c r="J13" s="64"/>
      <c r="K13" s="64"/>
      <c r="L13" s="66"/>
    </row>
    <row r="14" spans="1:15" ht="14.45" customHeight="1" x14ac:dyDescent="0.2">
      <c r="A14" s="66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6"/>
    </row>
    <row r="15" spans="1:15" ht="14.45" customHeight="1" x14ac:dyDescent="0.2">
      <c r="A15" s="66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6"/>
    </row>
    <row r="16" spans="1:15" ht="15" customHeight="1" x14ac:dyDescent="0.2">
      <c r="A16" s="66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6"/>
    </row>
    <row r="17" spans="1:12" x14ac:dyDescent="0.2">
      <c r="A17" s="66"/>
      <c r="B17" s="50"/>
      <c r="C17" s="50"/>
      <c r="D17" s="67"/>
      <c r="E17" s="67"/>
      <c r="F17" s="50"/>
      <c r="G17" s="50"/>
      <c r="H17" s="50"/>
      <c r="I17" s="50"/>
      <c r="J17" s="50"/>
      <c r="K17" s="50"/>
      <c r="L17" s="66"/>
    </row>
  </sheetData>
  <mergeCells count="2">
    <mergeCell ref="A1:L1"/>
    <mergeCell ref="A9:F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E1A14-12EF-4A19-8970-0E5DC76F2C28}">
  <dimension ref="A1:U43"/>
  <sheetViews>
    <sheetView workbookViewId="0">
      <selection activeCell="H13" sqref="H13"/>
    </sheetView>
  </sheetViews>
  <sheetFormatPr defaultColWidth="9.140625" defaultRowHeight="14.25" x14ac:dyDescent="0.2"/>
  <cols>
    <col min="1" max="1" width="11.140625" style="42" bestFit="1" customWidth="1"/>
    <col min="2" max="2" width="9.140625" style="42"/>
    <col min="3" max="3" width="12" style="42" bestFit="1" customWidth="1"/>
    <col min="4" max="4" width="12" style="42" customWidth="1"/>
    <col min="5" max="6" width="12.28515625" style="42" customWidth="1"/>
    <col min="7" max="10" width="9.140625" style="42"/>
    <col min="11" max="11" width="10.85546875" style="42" customWidth="1"/>
    <col min="12" max="15" width="9.140625" style="42"/>
    <col min="16" max="16" width="16.85546875" style="42" customWidth="1"/>
    <col min="17" max="18" width="9.140625" style="42"/>
    <col min="19" max="19" width="12.7109375" style="42" customWidth="1"/>
    <col min="20" max="20" width="12" style="42" customWidth="1"/>
    <col min="21" max="16384" width="9.140625" style="42"/>
  </cols>
  <sheetData>
    <row r="1" spans="1:21" ht="15.75" x14ac:dyDescent="0.25">
      <c r="A1" s="86" t="s">
        <v>169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21" ht="63.75" x14ac:dyDescent="0.2">
      <c r="A2" s="66" t="s">
        <v>152</v>
      </c>
      <c r="B2" s="66" t="s">
        <v>168</v>
      </c>
      <c r="C2" s="66" t="s">
        <v>165</v>
      </c>
      <c r="D2" s="66" t="s">
        <v>164</v>
      </c>
      <c r="E2" s="64" t="s">
        <v>170</v>
      </c>
      <c r="F2" s="64" t="s">
        <v>171</v>
      </c>
      <c r="G2" s="64" t="s">
        <v>213</v>
      </c>
      <c r="H2" s="64" t="s">
        <v>214</v>
      </c>
      <c r="I2" s="64" t="s">
        <v>215</v>
      </c>
      <c r="J2" s="64" t="s">
        <v>216</v>
      </c>
      <c r="K2" s="64" t="s">
        <v>227</v>
      </c>
      <c r="L2" s="64" t="s">
        <v>233</v>
      </c>
      <c r="M2" s="64" t="s">
        <v>234</v>
      </c>
      <c r="N2" s="64" t="s">
        <v>177</v>
      </c>
      <c r="O2" s="64" t="s">
        <v>235</v>
      </c>
      <c r="P2" s="64" t="s">
        <v>236</v>
      </c>
      <c r="Q2" s="73" t="s">
        <v>238</v>
      </c>
      <c r="R2" s="73" t="s">
        <v>243</v>
      </c>
      <c r="S2" s="73" t="s">
        <v>239</v>
      </c>
      <c r="T2" s="73" t="s">
        <v>240</v>
      </c>
      <c r="U2" s="73" t="s">
        <v>241</v>
      </c>
    </row>
    <row r="3" spans="1:21" x14ac:dyDescent="0.2">
      <c r="A3" s="66" t="s">
        <v>153</v>
      </c>
      <c r="B3" s="66">
        <v>2.58</v>
      </c>
      <c r="C3" s="66">
        <v>14.14</v>
      </c>
      <c r="D3" s="66">
        <v>3.2</v>
      </c>
      <c r="E3" s="66">
        <v>15</v>
      </c>
      <c r="F3" s="66">
        <v>1</v>
      </c>
      <c r="G3" s="66">
        <f>((B3*E3)+(C3*F3))*D3</f>
        <v>169.08800000000002</v>
      </c>
      <c r="H3" s="66">
        <v>4</v>
      </c>
      <c r="I3" s="66">
        <f>H3*E3</f>
        <v>60</v>
      </c>
      <c r="J3" s="66">
        <f>I3*D3</f>
        <v>192</v>
      </c>
      <c r="K3" s="66">
        <f>(B3*2+C3)*D3</f>
        <v>61.760000000000005</v>
      </c>
      <c r="L3" s="66">
        <f>((0.6+0.86+0.6)*2.44)+(0.6*0.86)</f>
        <v>5.5423999999999998</v>
      </c>
      <c r="M3" s="66">
        <v>4</v>
      </c>
      <c r="N3" s="66">
        <v>14</v>
      </c>
      <c r="O3" s="66">
        <f>M3*N3</f>
        <v>56</v>
      </c>
      <c r="P3" s="66">
        <f>O3*L3</f>
        <v>310.37439999999998</v>
      </c>
      <c r="Q3" s="52">
        <f>0.0119*0.19</f>
        <v>2.261E-3</v>
      </c>
      <c r="R3" s="52">
        <f>Q3*D3</f>
        <v>7.2352000000000007E-3</v>
      </c>
      <c r="S3" s="52">
        <v>2</v>
      </c>
      <c r="T3" s="52">
        <f>S3*E3</f>
        <v>30</v>
      </c>
      <c r="U3" s="52">
        <f>R3*S3*T3</f>
        <v>0.43411200000000005</v>
      </c>
    </row>
    <row r="4" spans="1:21" x14ac:dyDescent="0.2">
      <c r="A4" s="66" t="s">
        <v>154</v>
      </c>
      <c r="B4" s="66">
        <v>2.58</v>
      </c>
      <c r="C4" s="66">
        <v>14.14</v>
      </c>
      <c r="D4" s="66">
        <v>3.2</v>
      </c>
      <c r="E4" s="66">
        <v>15</v>
      </c>
      <c r="F4" s="66">
        <v>1</v>
      </c>
      <c r="G4" s="66">
        <f t="shared" ref="G4:G7" si="0">((B4*E4)+(C4*F4))*D4</f>
        <v>169.08800000000002</v>
      </c>
      <c r="H4" s="66">
        <v>4</v>
      </c>
      <c r="I4" s="66">
        <f t="shared" ref="I4:I7" si="1">H4*E4</f>
        <v>60</v>
      </c>
      <c r="J4" s="66">
        <f t="shared" ref="J4:J7" si="2">I4*D4</f>
        <v>192</v>
      </c>
      <c r="K4" s="66">
        <f t="shared" ref="K4:K7" si="3">(B4*2+C4)*D4</f>
        <v>61.760000000000005</v>
      </c>
      <c r="L4" s="66">
        <f>((0.6+0.86+0.6)*2.44)+(0.6*0.86)</f>
        <v>5.5423999999999998</v>
      </c>
      <c r="M4" s="66">
        <v>4</v>
      </c>
      <c r="N4" s="66">
        <v>14</v>
      </c>
      <c r="O4" s="66">
        <f t="shared" ref="O4:O7" si="4">M4*N4</f>
        <v>56</v>
      </c>
      <c r="P4" s="66">
        <f t="shared" ref="P4:P7" si="5">O4*L4</f>
        <v>310.37439999999998</v>
      </c>
      <c r="Q4" s="52">
        <f t="shared" ref="Q4:Q7" si="6">0.0119*0.19</f>
        <v>2.261E-3</v>
      </c>
      <c r="R4" s="52">
        <f t="shared" ref="R4:R7" si="7">Q4*D4</f>
        <v>7.2352000000000007E-3</v>
      </c>
      <c r="S4" s="52">
        <v>2</v>
      </c>
      <c r="T4" s="52">
        <f t="shared" ref="T4:T7" si="8">S4*E4</f>
        <v>30</v>
      </c>
      <c r="U4" s="52">
        <f t="shared" ref="U4:U7" si="9">R4*S4*T4</f>
        <v>0.43411200000000005</v>
      </c>
    </row>
    <row r="5" spans="1:21" x14ac:dyDescent="0.2">
      <c r="A5" s="66" t="s">
        <v>155</v>
      </c>
      <c r="B5" s="66">
        <v>2.58</v>
      </c>
      <c r="C5" s="66">
        <v>7.37</v>
      </c>
      <c r="D5" s="66">
        <v>3.03</v>
      </c>
      <c r="E5" s="66">
        <v>7</v>
      </c>
      <c r="F5" s="66">
        <v>1</v>
      </c>
      <c r="G5" s="66">
        <f t="shared" si="0"/>
        <v>77.052900000000008</v>
      </c>
      <c r="H5" s="66">
        <v>4</v>
      </c>
      <c r="I5" s="66">
        <f t="shared" si="1"/>
        <v>28</v>
      </c>
      <c r="J5" s="66">
        <f t="shared" si="2"/>
        <v>84.839999999999989</v>
      </c>
      <c r="K5" s="66">
        <f t="shared" si="3"/>
        <v>37.965899999999998</v>
      </c>
      <c r="L5" s="66">
        <f>((0.8+1.08+0.8)*2.44)+(0.8*1.08)</f>
        <v>7.4032</v>
      </c>
      <c r="M5" s="66">
        <v>3</v>
      </c>
      <c r="N5" s="66">
        <v>6</v>
      </c>
      <c r="O5" s="66">
        <f t="shared" si="4"/>
        <v>18</v>
      </c>
      <c r="P5" s="66">
        <f t="shared" si="5"/>
        <v>133.2576</v>
      </c>
      <c r="Q5" s="52">
        <f t="shared" si="6"/>
        <v>2.261E-3</v>
      </c>
      <c r="R5" s="52">
        <f t="shared" si="7"/>
        <v>6.8508299999999996E-3</v>
      </c>
      <c r="S5" s="52">
        <v>2</v>
      </c>
      <c r="T5" s="52">
        <f t="shared" si="8"/>
        <v>14</v>
      </c>
      <c r="U5" s="52">
        <f t="shared" si="9"/>
        <v>0.19182323999999998</v>
      </c>
    </row>
    <row r="6" spans="1:21" x14ac:dyDescent="0.2">
      <c r="A6" s="66" t="s">
        <v>155</v>
      </c>
      <c r="B6" s="66">
        <v>2.58</v>
      </c>
      <c r="C6" s="66">
        <v>16.170000000000002</v>
      </c>
      <c r="D6" s="66">
        <v>3.2</v>
      </c>
      <c r="E6" s="66">
        <v>17</v>
      </c>
      <c r="F6" s="66">
        <v>1</v>
      </c>
      <c r="G6" s="66">
        <f t="shared" si="0"/>
        <v>192.096</v>
      </c>
      <c r="H6" s="66">
        <v>4</v>
      </c>
      <c r="I6" s="66">
        <f t="shared" si="1"/>
        <v>68</v>
      </c>
      <c r="J6" s="66">
        <f t="shared" si="2"/>
        <v>217.60000000000002</v>
      </c>
      <c r="K6" s="66">
        <f t="shared" si="3"/>
        <v>68.256000000000014</v>
      </c>
      <c r="L6" s="66">
        <f>((0.6+0.86+0.6)*2.44)+(0.6*0.86)</f>
        <v>5.5423999999999998</v>
      </c>
      <c r="M6" s="66">
        <v>4</v>
      </c>
      <c r="N6" s="66">
        <v>16</v>
      </c>
      <c r="O6" s="66">
        <f t="shared" si="4"/>
        <v>64</v>
      </c>
      <c r="P6" s="66">
        <f t="shared" si="5"/>
        <v>354.71359999999999</v>
      </c>
      <c r="Q6" s="52">
        <f t="shared" si="6"/>
        <v>2.261E-3</v>
      </c>
      <c r="R6" s="52">
        <f t="shared" si="7"/>
        <v>7.2352000000000007E-3</v>
      </c>
      <c r="S6" s="52">
        <v>2</v>
      </c>
      <c r="T6" s="52">
        <f t="shared" si="8"/>
        <v>34</v>
      </c>
      <c r="U6" s="52">
        <f t="shared" si="9"/>
        <v>0.49199360000000003</v>
      </c>
    </row>
    <row r="7" spans="1:21" x14ac:dyDescent="0.2">
      <c r="A7" s="66" t="s">
        <v>155</v>
      </c>
      <c r="B7" s="66">
        <v>2.58</v>
      </c>
      <c r="C7" s="66">
        <v>22.14</v>
      </c>
      <c r="D7" s="66">
        <v>3.2</v>
      </c>
      <c r="E7" s="66">
        <v>23</v>
      </c>
      <c r="F7" s="66">
        <v>1</v>
      </c>
      <c r="G7" s="66">
        <f t="shared" si="0"/>
        <v>260.73600000000005</v>
      </c>
      <c r="H7" s="66">
        <v>4</v>
      </c>
      <c r="I7" s="66">
        <f t="shared" si="1"/>
        <v>92</v>
      </c>
      <c r="J7" s="66">
        <f t="shared" si="2"/>
        <v>294.40000000000003</v>
      </c>
      <c r="K7" s="66">
        <f t="shared" si="3"/>
        <v>87.360000000000014</v>
      </c>
      <c r="L7" s="66">
        <f>((0.6+0.86+0.6)*2.44)+(0.6*0.86)</f>
        <v>5.5423999999999998</v>
      </c>
      <c r="M7" s="66">
        <v>4</v>
      </c>
      <c r="N7" s="66">
        <v>44</v>
      </c>
      <c r="O7" s="66">
        <f t="shared" si="4"/>
        <v>176</v>
      </c>
      <c r="P7" s="66">
        <f t="shared" si="5"/>
        <v>975.4624</v>
      </c>
      <c r="Q7" s="52">
        <f t="shared" si="6"/>
        <v>2.261E-3</v>
      </c>
      <c r="R7" s="52">
        <f t="shared" si="7"/>
        <v>7.2352000000000007E-3</v>
      </c>
      <c r="S7" s="52">
        <v>2</v>
      </c>
      <c r="T7" s="52">
        <f t="shared" si="8"/>
        <v>46</v>
      </c>
      <c r="U7" s="52">
        <f t="shared" si="9"/>
        <v>0.66563840000000007</v>
      </c>
    </row>
    <row r="8" spans="1:21" x14ac:dyDescent="0.2">
      <c r="A8" s="65"/>
      <c r="B8" s="66"/>
      <c r="C8" s="66"/>
      <c r="D8" s="66"/>
      <c r="E8" s="66"/>
      <c r="F8" s="66"/>
      <c r="G8" s="65"/>
      <c r="H8" s="65"/>
      <c r="I8" s="65"/>
      <c r="J8" s="65"/>
      <c r="K8" s="65"/>
      <c r="L8" s="65"/>
      <c r="M8" s="65"/>
      <c r="N8" s="65"/>
      <c r="O8" s="65"/>
      <c r="P8" s="65"/>
      <c r="Q8" s="52"/>
      <c r="R8" s="52"/>
      <c r="S8" s="52"/>
      <c r="T8" s="52"/>
      <c r="U8" s="52"/>
    </row>
    <row r="9" spans="1:21" ht="15.75" x14ac:dyDescent="0.2">
      <c r="A9" s="85" t="s">
        <v>187</v>
      </c>
      <c r="B9" s="85"/>
      <c r="C9" s="85"/>
      <c r="D9" s="85"/>
      <c r="E9" s="85"/>
      <c r="F9" s="66"/>
      <c r="G9" s="66"/>
      <c r="H9" s="66"/>
      <c r="I9" s="65"/>
      <c r="J9" s="65"/>
      <c r="K9" s="65"/>
      <c r="L9" s="65"/>
      <c r="M9" s="65"/>
      <c r="N9" s="65"/>
      <c r="O9" s="65"/>
      <c r="P9" s="65"/>
    </row>
    <row r="10" spans="1:21" ht="38.25" x14ac:dyDescent="0.2">
      <c r="A10" s="66" t="s">
        <v>152</v>
      </c>
      <c r="B10" s="64" t="s">
        <v>213</v>
      </c>
      <c r="C10" s="64" t="s">
        <v>217</v>
      </c>
      <c r="D10" s="66" t="s">
        <v>218</v>
      </c>
      <c r="E10" s="64" t="s">
        <v>227</v>
      </c>
      <c r="F10" s="66" t="s">
        <v>233</v>
      </c>
      <c r="G10" s="64" t="s">
        <v>242</v>
      </c>
      <c r="H10" s="66"/>
      <c r="I10" s="65"/>
      <c r="J10" s="65"/>
      <c r="K10" s="65"/>
      <c r="L10" s="65"/>
      <c r="M10" s="65"/>
      <c r="N10" s="65"/>
      <c r="O10" s="65"/>
      <c r="P10" s="65"/>
    </row>
    <row r="11" spans="1:21" x14ac:dyDescent="0.2">
      <c r="A11" s="66" t="s">
        <v>162</v>
      </c>
      <c r="B11" s="66">
        <f>G3+G4</f>
        <v>338.17600000000004</v>
      </c>
      <c r="C11" s="66">
        <f>J3+J4</f>
        <v>384</v>
      </c>
      <c r="D11" s="66">
        <f>C11*'Massa Nominal Aço'!B6</f>
        <v>94.08</v>
      </c>
      <c r="E11" s="66">
        <f>K3+K4</f>
        <v>123.52000000000001</v>
      </c>
      <c r="F11" s="66">
        <f>P3+P4</f>
        <v>620.74879999999996</v>
      </c>
      <c r="G11" s="66">
        <f>U3+U4</f>
        <v>0.86822400000000011</v>
      </c>
      <c r="H11" s="66"/>
      <c r="I11" s="65"/>
      <c r="J11" s="65"/>
      <c r="K11" s="65"/>
      <c r="L11" s="65"/>
      <c r="M11" s="65"/>
      <c r="N11" s="65"/>
      <c r="O11" s="65"/>
      <c r="P11" s="65"/>
    </row>
    <row r="12" spans="1:21" x14ac:dyDescent="0.2">
      <c r="A12" s="66" t="s">
        <v>155</v>
      </c>
      <c r="B12" s="66">
        <f>G5+G6+G7</f>
        <v>529.88490000000002</v>
      </c>
      <c r="C12" s="66">
        <f>J5+J6+J7</f>
        <v>596.84</v>
      </c>
      <c r="D12" s="66">
        <f>C12*'Massa Nominal Aço'!B7</f>
        <v>235.75180000000003</v>
      </c>
      <c r="E12" s="66">
        <f>K5+K6+K7</f>
        <v>193.58190000000002</v>
      </c>
      <c r="F12" s="66">
        <f>P5+P6+P7</f>
        <v>1463.4335999999998</v>
      </c>
      <c r="G12" s="66">
        <f>U5+U6+U7</f>
        <v>1.3494552400000002</v>
      </c>
      <c r="H12" s="66"/>
      <c r="I12" s="65"/>
      <c r="J12" s="65"/>
      <c r="K12" s="65"/>
      <c r="L12" s="65"/>
      <c r="M12" s="65"/>
      <c r="N12" s="65"/>
      <c r="O12" s="65"/>
      <c r="P12" s="65"/>
    </row>
    <row r="13" spans="1:21" x14ac:dyDescent="0.2">
      <c r="A13" s="66" t="s">
        <v>189</v>
      </c>
      <c r="B13" s="66">
        <f t="shared" ref="B13:G13" si="10">SUM(B11:B12)</f>
        <v>868.06090000000006</v>
      </c>
      <c r="C13" s="66">
        <f t="shared" si="10"/>
        <v>980.84</v>
      </c>
      <c r="D13" s="66">
        <f t="shared" si="10"/>
        <v>329.83180000000004</v>
      </c>
      <c r="E13" s="66">
        <f t="shared" si="10"/>
        <v>317.1019</v>
      </c>
      <c r="F13" s="66">
        <f t="shared" si="10"/>
        <v>2084.1823999999997</v>
      </c>
      <c r="G13" s="66">
        <f t="shared" si="10"/>
        <v>2.2176792400000003</v>
      </c>
      <c r="H13" s="66"/>
      <c r="I13" s="65"/>
      <c r="J13" s="65"/>
      <c r="K13" s="65"/>
      <c r="L13" s="65"/>
      <c r="M13" s="65"/>
      <c r="N13" s="65"/>
      <c r="O13" s="65"/>
      <c r="P13" s="65"/>
    </row>
    <row r="14" spans="1:21" x14ac:dyDescent="0.2">
      <c r="A14" s="66"/>
      <c r="B14" s="66"/>
      <c r="C14" s="66"/>
      <c r="D14" s="66"/>
      <c r="E14" s="66"/>
      <c r="F14" s="66"/>
      <c r="G14" s="66"/>
      <c r="H14" s="66"/>
      <c r="I14" s="65"/>
      <c r="J14" s="65"/>
      <c r="K14" s="65"/>
      <c r="L14" s="65"/>
      <c r="M14" s="65"/>
      <c r="N14" s="65"/>
      <c r="O14" s="65"/>
      <c r="P14" s="65"/>
    </row>
    <row r="15" spans="1:21" x14ac:dyDescent="0.2">
      <c r="A15" s="66"/>
      <c r="B15" s="66"/>
      <c r="C15" s="66"/>
      <c r="D15" s="66"/>
      <c r="E15" s="66"/>
      <c r="F15" s="66"/>
      <c r="G15" s="66"/>
      <c r="H15" s="66"/>
      <c r="I15" s="65"/>
      <c r="J15" s="65"/>
      <c r="K15" s="65"/>
      <c r="L15" s="65"/>
      <c r="M15" s="65"/>
      <c r="N15" s="65"/>
      <c r="O15" s="65"/>
      <c r="P15" s="65"/>
    </row>
    <row r="16" spans="1:21" x14ac:dyDescent="0.2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16" x14ac:dyDescent="0.2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6" x14ac:dyDescent="0.2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</row>
    <row r="19" spans="1:16" x14ac:dyDescent="0.2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</row>
    <row r="20" spans="1:16" x14ac:dyDescent="0.2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</row>
    <row r="21" spans="1:16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</row>
    <row r="22" spans="1:16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</row>
    <row r="23" spans="1:16" x14ac:dyDescent="0.2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</row>
    <row r="24" spans="1:16" x14ac:dyDescent="0.2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16" x14ac:dyDescent="0.2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</row>
    <row r="26" spans="1:16" x14ac:dyDescent="0.2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1:16" x14ac:dyDescent="0.2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</row>
    <row r="28" spans="1:16" x14ac:dyDescent="0.2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</row>
    <row r="29" spans="1:16" x14ac:dyDescent="0.2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</row>
    <row r="30" spans="1:16" x14ac:dyDescent="0.2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</row>
    <row r="31" spans="1:16" x14ac:dyDescent="0.2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</row>
    <row r="32" spans="1:16" x14ac:dyDescent="0.2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</row>
    <row r="33" spans="1:16" x14ac:dyDescent="0.2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</row>
    <row r="34" spans="1:16" x14ac:dyDescent="0.2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</row>
    <row r="35" spans="1:16" x14ac:dyDescent="0.2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</row>
    <row r="36" spans="1:16" x14ac:dyDescent="0.2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</row>
    <row r="37" spans="1:16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</row>
    <row r="38" spans="1:16" x14ac:dyDescent="0.2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</row>
    <row r="39" spans="1:16" x14ac:dyDescent="0.2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</row>
    <row r="40" spans="1:16" x14ac:dyDescent="0.2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</row>
    <row r="41" spans="1:16" x14ac:dyDescent="0.2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</row>
    <row r="42" spans="1:16" x14ac:dyDescent="0.2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</row>
    <row r="43" spans="1:16" x14ac:dyDescent="0.2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</row>
  </sheetData>
  <mergeCells count="2">
    <mergeCell ref="A1:M1"/>
    <mergeCell ref="A9:E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D1D3E-F8D3-427C-A660-B7CEBFC5D233}">
  <dimension ref="A1:I18"/>
  <sheetViews>
    <sheetView workbookViewId="0">
      <selection activeCell="F11" sqref="F11"/>
    </sheetView>
  </sheetViews>
  <sheetFormatPr defaultColWidth="9.140625" defaultRowHeight="12.75" x14ac:dyDescent="0.2"/>
  <cols>
    <col min="1" max="1" width="11.5703125" style="65" bestFit="1" customWidth="1"/>
    <col min="2" max="2" width="9.140625" style="65"/>
    <col min="3" max="3" width="12.42578125" style="65" customWidth="1"/>
    <col min="4" max="4" width="9.85546875" style="65" customWidth="1"/>
    <col min="5" max="5" width="10.5703125" style="65" customWidth="1"/>
    <col min="6" max="7" width="9.140625" style="65"/>
    <col min="8" max="8" width="10" style="65" customWidth="1"/>
    <col min="9" max="9" width="10.140625" style="65" customWidth="1"/>
    <col min="10" max="16384" width="9.140625" style="65"/>
  </cols>
  <sheetData>
    <row r="1" spans="1:9" ht="15.75" x14ac:dyDescent="0.2">
      <c r="A1" s="85" t="s">
        <v>172</v>
      </c>
      <c r="B1" s="85"/>
      <c r="C1" s="85"/>
      <c r="D1" s="85"/>
      <c r="E1" s="85"/>
      <c r="F1" s="85"/>
      <c r="G1" s="85"/>
      <c r="H1" s="85"/>
      <c r="I1" s="85"/>
    </row>
    <row r="2" spans="1:9" s="70" customFormat="1" ht="38.25" x14ac:dyDescent="0.2">
      <c r="A2" s="64" t="s">
        <v>152</v>
      </c>
      <c r="B2" s="64" t="s">
        <v>176</v>
      </c>
      <c r="C2" s="64" t="s">
        <v>173</v>
      </c>
      <c r="D2" s="64" t="s">
        <v>174</v>
      </c>
      <c r="E2" s="64" t="s">
        <v>175</v>
      </c>
      <c r="F2" s="64" t="s">
        <v>177</v>
      </c>
      <c r="G2" s="64" t="s">
        <v>219</v>
      </c>
      <c r="H2" s="64" t="s">
        <v>220</v>
      </c>
      <c r="I2" s="64" t="s">
        <v>221</v>
      </c>
    </row>
    <row r="3" spans="1:9" x14ac:dyDescent="0.2">
      <c r="A3" s="66" t="s">
        <v>153</v>
      </c>
      <c r="B3" s="66">
        <v>3.2</v>
      </c>
      <c r="C3" s="66">
        <v>14.14</v>
      </c>
      <c r="D3" s="66">
        <v>4</v>
      </c>
      <c r="E3" s="66">
        <v>4</v>
      </c>
      <c r="F3" s="66">
        <v>14</v>
      </c>
      <c r="G3" s="66">
        <f>B3*F3</f>
        <v>44.800000000000004</v>
      </c>
      <c r="H3" s="66">
        <f>E3*F3</f>
        <v>56</v>
      </c>
      <c r="I3" s="66">
        <f>D3*F3</f>
        <v>56</v>
      </c>
    </row>
    <row r="4" spans="1:9" x14ac:dyDescent="0.2">
      <c r="A4" s="66" t="s">
        <v>154</v>
      </c>
      <c r="B4" s="66">
        <v>3.2</v>
      </c>
      <c r="C4" s="66">
        <v>14.14</v>
      </c>
      <c r="D4" s="66">
        <v>4</v>
      </c>
      <c r="E4" s="66">
        <v>4</v>
      </c>
      <c r="F4" s="66">
        <v>14</v>
      </c>
      <c r="G4" s="66">
        <f t="shared" ref="G4:G8" si="0">B4*F4</f>
        <v>44.800000000000004</v>
      </c>
      <c r="H4" s="66">
        <f t="shared" ref="H4:H8" si="1">E4*F4</f>
        <v>56</v>
      </c>
      <c r="I4" s="66">
        <f t="shared" ref="I4:I8" si="2">D4*F4</f>
        <v>56</v>
      </c>
    </row>
    <row r="5" spans="1:9" x14ac:dyDescent="0.2">
      <c r="A5" s="66" t="s">
        <v>155</v>
      </c>
      <c r="B5" s="66">
        <v>3.08</v>
      </c>
      <c r="C5" s="66">
        <v>23.34</v>
      </c>
      <c r="D5" s="66">
        <v>3</v>
      </c>
      <c r="E5" s="66">
        <v>3</v>
      </c>
      <c r="F5" s="66">
        <v>6</v>
      </c>
      <c r="G5" s="66">
        <f t="shared" si="0"/>
        <v>18.48</v>
      </c>
      <c r="H5" s="66">
        <f t="shared" si="1"/>
        <v>18</v>
      </c>
      <c r="I5" s="66">
        <f t="shared" si="2"/>
        <v>18</v>
      </c>
    </row>
    <row r="6" spans="1:9" x14ac:dyDescent="0.2">
      <c r="A6" s="66" t="s">
        <v>155</v>
      </c>
      <c r="B6" s="66">
        <v>3.2</v>
      </c>
      <c r="C6" s="66" t="s">
        <v>178</v>
      </c>
      <c r="D6" s="66">
        <v>4</v>
      </c>
      <c r="E6" s="66">
        <v>4</v>
      </c>
      <c r="F6" s="66">
        <v>16</v>
      </c>
      <c r="G6" s="66">
        <f t="shared" si="0"/>
        <v>51.2</v>
      </c>
      <c r="H6" s="66">
        <f t="shared" si="1"/>
        <v>64</v>
      </c>
      <c r="I6" s="66">
        <f t="shared" si="2"/>
        <v>64</v>
      </c>
    </row>
    <row r="7" spans="1:9" x14ac:dyDescent="0.2">
      <c r="A7" s="66" t="s">
        <v>155</v>
      </c>
      <c r="B7" s="66">
        <v>3.2</v>
      </c>
      <c r="C7" s="66">
        <v>22.14</v>
      </c>
      <c r="D7" s="66">
        <v>4</v>
      </c>
      <c r="E7" s="66">
        <v>4</v>
      </c>
      <c r="F7" s="66">
        <v>22</v>
      </c>
      <c r="G7" s="66">
        <f t="shared" si="0"/>
        <v>70.400000000000006</v>
      </c>
      <c r="H7" s="66">
        <f t="shared" si="1"/>
        <v>88</v>
      </c>
      <c r="I7" s="66">
        <f t="shared" si="2"/>
        <v>88</v>
      </c>
    </row>
    <row r="8" spans="1:9" x14ac:dyDescent="0.2">
      <c r="A8" s="66" t="s">
        <v>155</v>
      </c>
      <c r="B8" s="66">
        <v>3.2</v>
      </c>
      <c r="C8" s="66">
        <v>22.14</v>
      </c>
      <c r="D8" s="66">
        <v>4</v>
      </c>
      <c r="E8" s="66">
        <v>4</v>
      </c>
      <c r="F8" s="66">
        <v>22</v>
      </c>
      <c r="G8" s="66">
        <f t="shared" si="0"/>
        <v>70.400000000000006</v>
      </c>
      <c r="H8" s="66">
        <f t="shared" si="1"/>
        <v>88</v>
      </c>
      <c r="I8" s="66">
        <f t="shared" si="2"/>
        <v>88</v>
      </c>
    </row>
    <row r="9" spans="1:9" x14ac:dyDescent="0.2">
      <c r="A9" s="66"/>
      <c r="B9" s="66"/>
      <c r="C9" s="66"/>
      <c r="D9" s="66"/>
      <c r="E9" s="66"/>
    </row>
    <row r="10" spans="1:9" ht="15.75" x14ac:dyDescent="0.2">
      <c r="A10" s="85" t="s">
        <v>187</v>
      </c>
      <c r="B10" s="85"/>
      <c r="C10" s="85"/>
      <c r="D10" s="85"/>
      <c r="E10" s="85"/>
      <c r="F10" s="66"/>
      <c r="G10" s="66"/>
      <c r="H10" s="66"/>
    </row>
    <row r="11" spans="1:9" ht="38.25" x14ac:dyDescent="0.2">
      <c r="A11" s="66" t="s">
        <v>152</v>
      </c>
      <c r="B11" s="64" t="s">
        <v>219</v>
      </c>
      <c r="C11" s="64" t="s">
        <v>222</v>
      </c>
      <c r="D11" s="64" t="s">
        <v>221</v>
      </c>
      <c r="E11" s="64" t="s">
        <v>220</v>
      </c>
      <c r="F11" s="66"/>
      <c r="G11" s="66"/>
      <c r="H11" s="66"/>
    </row>
    <row r="12" spans="1:9" x14ac:dyDescent="0.2">
      <c r="A12" s="66" t="s">
        <v>162</v>
      </c>
      <c r="B12" s="66">
        <f>G3+G4</f>
        <v>89.600000000000009</v>
      </c>
      <c r="C12" s="66">
        <f>C3+C4</f>
        <v>28.28</v>
      </c>
      <c r="D12" s="66">
        <f>I3+I4</f>
        <v>112</v>
      </c>
      <c r="E12" s="66">
        <f>H3+H4</f>
        <v>112</v>
      </c>
      <c r="F12" s="66"/>
      <c r="G12" s="66"/>
      <c r="H12" s="66"/>
    </row>
    <row r="13" spans="1:9" x14ac:dyDescent="0.2">
      <c r="A13" s="66" t="s">
        <v>155</v>
      </c>
      <c r="B13" s="66">
        <f>G5+G6+G7+G8</f>
        <v>210.48000000000002</v>
      </c>
      <c r="C13" s="66">
        <f>C5+C7+C8</f>
        <v>67.62</v>
      </c>
      <c r="D13" s="66">
        <f>I5+I6+I7+I8</f>
        <v>258</v>
      </c>
      <c r="E13" s="66">
        <f>H5+H6+H7+H8</f>
        <v>258</v>
      </c>
      <c r="F13" s="66"/>
      <c r="G13" s="66"/>
      <c r="H13" s="66"/>
    </row>
    <row r="14" spans="1:9" x14ac:dyDescent="0.2">
      <c r="A14" s="66" t="s">
        <v>189</v>
      </c>
      <c r="B14" s="66">
        <f>SUM(B12:B13)</f>
        <v>300.08000000000004</v>
      </c>
      <c r="C14" s="66">
        <f t="shared" ref="C14:E14" si="3">SUM(C12:C13)</f>
        <v>95.9</v>
      </c>
      <c r="D14" s="66">
        <f t="shared" si="3"/>
        <v>370</v>
      </c>
      <c r="E14" s="66">
        <f t="shared" si="3"/>
        <v>370</v>
      </c>
      <c r="F14" s="66"/>
      <c r="G14" s="66"/>
      <c r="H14" s="66"/>
    </row>
    <row r="15" spans="1:9" x14ac:dyDescent="0.2">
      <c r="A15" s="66"/>
      <c r="B15" s="66"/>
      <c r="C15" s="66"/>
      <c r="D15" s="66"/>
      <c r="E15" s="66"/>
      <c r="F15" s="66"/>
      <c r="G15" s="66"/>
      <c r="H15" s="66"/>
    </row>
    <row r="16" spans="1:9" x14ac:dyDescent="0.2">
      <c r="A16" s="66"/>
      <c r="B16" s="66"/>
      <c r="C16" s="66"/>
      <c r="D16" s="66"/>
      <c r="E16" s="66"/>
      <c r="F16" s="66"/>
      <c r="G16" s="66"/>
      <c r="H16" s="66"/>
    </row>
    <row r="17" spans="1:8" x14ac:dyDescent="0.2">
      <c r="A17" s="66"/>
      <c r="B17" s="66"/>
      <c r="C17" s="66"/>
      <c r="D17" s="66"/>
      <c r="E17" s="66"/>
      <c r="F17" s="66"/>
      <c r="G17" s="66"/>
      <c r="H17" s="66"/>
    </row>
    <row r="18" spans="1:8" x14ac:dyDescent="0.2">
      <c r="A18" s="66"/>
      <c r="B18" s="66"/>
      <c r="C18" s="66"/>
      <c r="D18" s="66"/>
      <c r="E18" s="66"/>
      <c r="F18" s="66"/>
      <c r="G18" s="66"/>
      <c r="H18" s="66"/>
    </row>
  </sheetData>
  <mergeCells count="2">
    <mergeCell ref="A1:I1"/>
    <mergeCell ref="A10:E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8" sqref="F8"/>
    </sheetView>
  </sheetViews>
  <sheetFormatPr defaultColWidth="8.85546875" defaultRowHeight="14.25" x14ac:dyDescent="0.2"/>
  <cols>
    <col min="1" max="4" width="8.85546875" style="42"/>
    <col min="5" max="5" width="12.28515625" style="42" customWidth="1"/>
    <col min="6" max="6" width="9.7109375" style="42" customWidth="1"/>
    <col min="7" max="16384" width="8.85546875" style="42"/>
  </cols>
  <sheetData>
    <row r="1" spans="1:6" ht="15" customHeight="1" thickBot="1" x14ac:dyDescent="0.3">
      <c r="A1" s="83" t="s">
        <v>135</v>
      </c>
      <c r="B1" s="93"/>
      <c r="C1" s="93"/>
      <c r="D1" s="93"/>
      <c r="E1" s="93"/>
      <c r="F1" s="84"/>
    </row>
    <row r="2" spans="1:6" ht="15" customHeight="1" thickBot="1" x14ac:dyDescent="0.3">
      <c r="A2" s="53">
        <v>1</v>
      </c>
      <c r="B2" s="54">
        <v>2</v>
      </c>
      <c r="C2" s="54">
        <v>3</v>
      </c>
      <c r="D2" s="54">
        <v>4</v>
      </c>
      <c r="E2" s="54">
        <v>5</v>
      </c>
      <c r="F2" s="55">
        <v>6</v>
      </c>
    </row>
    <row r="3" spans="1:6" ht="13.9" customHeight="1" x14ac:dyDescent="0.2">
      <c r="A3" s="87" t="s">
        <v>138</v>
      </c>
      <c r="B3" s="94" t="s">
        <v>133</v>
      </c>
      <c r="C3" s="94" t="s">
        <v>132</v>
      </c>
      <c r="D3" s="94" t="s">
        <v>134</v>
      </c>
      <c r="E3" s="94" t="s">
        <v>130</v>
      </c>
      <c r="F3" s="90" t="s">
        <v>131</v>
      </c>
    </row>
    <row r="4" spans="1:6" x14ac:dyDescent="0.2">
      <c r="A4" s="88"/>
      <c r="B4" s="95"/>
      <c r="C4" s="95"/>
      <c r="D4" s="95"/>
      <c r="E4" s="95"/>
      <c r="F4" s="91"/>
    </row>
    <row r="5" spans="1:6" x14ac:dyDescent="0.2">
      <c r="A5" s="88"/>
      <c r="B5" s="95"/>
      <c r="C5" s="95"/>
      <c r="D5" s="95"/>
      <c r="E5" s="95"/>
      <c r="F5" s="91"/>
    </row>
    <row r="6" spans="1:6" x14ac:dyDescent="0.2">
      <c r="A6" s="88"/>
      <c r="B6" s="95"/>
      <c r="C6" s="95"/>
      <c r="D6" s="95"/>
      <c r="E6" s="95"/>
      <c r="F6" s="91"/>
    </row>
    <row r="7" spans="1:6" ht="15" thickBot="1" x14ac:dyDescent="0.25">
      <c r="A7" s="89"/>
      <c r="B7" s="96"/>
      <c r="C7" s="96"/>
      <c r="D7" s="96"/>
      <c r="E7" s="96"/>
      <c r="F7" s="92"/>
    </row>
    <row r="8" spans="1:6" ht="15" thickBot="1" x14ac:dyDescent="0.25">
      <c r="A8" s="56">
        <f>(1.4*1.4*1.2)*1.25</f>
        <v>2.9399999999999995</v>
      </c>
      <c r="B8" s="57">
        <f>(1.4*1.4)+((1.4*2+1.4*2)*0.1)*2</f>
        <v>3.0799999999999996</v>
      </c>
      <c r="C8" s="57">
        <f>(1.4*1.4*0.1)*2</f>
        <v>0.39199999999999996</v>
      </c>
      <c r="D8" s="57">
        <f>(1.4*2+1.4*2)*1</f>
        <v>5.6</v>
      </c>
      <c r="E8" s="57">
        <f>(1.06*2+1.11*2)*1+(1.11*1.06)</f>
        <v>5.5166000000000004</v>
      </c>
      <c r="F8" s="58">
        <f>(1.06*2+1.11*2)*1+(1.11*1.06)</f>
        <v>5.5166000000000004</v>
      </c>
    </row>
  </sheetData>
  <mergeCells count="7">
    <mergeCell ref="A3:A7"/>
    <mergeCell ref="F3:F7"/>
    <mergeCell ref="A1:F1"/>
    <mergeCell ref="E3:E7"/>
    <mergeCell ref="D3:D7"/>
    <mergeCell ref="C3:C7"/>
    <mergeCell ref="B3:B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2">
    <pageSetUpPr fitToPage="1"/>
  </sheetPr>
  <dimension ref="A1:I113"/>
  <sheetViews>
    <sheetView zoomScale="80" zoomScaleNormal="80" workbookViewId="0">
      <pane ySplit="8" topLeftCell="A111" activePane="bottomLeft" state="frozen"/>
      <selection pane="bottomLeft" activeCell="A58" sqref="A58:F113"/>
    </sheetView>
  </sheetViews>
  <sheetFormatPr defaultColWidth="8.85546875" defaultRowHeight="15" x14ac:dyDescent="0.2"/>
  <cols>
    <col min="1" max="1" width="5.7109375" style="4" bestFit="1" customWidth="1"/>
    <col min="2" max="2" width="15.7109375" style="4" customWidth="1"/>
    <col min="3" max="3" width="11.28515625" style="4" customWidth="1"/>
    <col min="4" max="4" width="171.28515625" style="4" bestFit="1" customWidth="1"/>
    <col min="5" max="6" width="13.28515625" style="4" customWidth="1"/>
    <col min="7" max="8" width="8.7109375" style="4" customWidth="1"/>
    <col min="9" max="16384" width="8.85546875" style="4"/>
  </cols>
  <sheetData>
    <row r="1" spans="1:8" ht="15" customHeight="1" x14ac:dyDescent="0.2">
      <c r="A1" s="122"/>
      <c r="B1" s="123"/>
      <c r="C1" s="124"/>
      <c r="D1" s="131" t="s">
        <v>1</v>
      </c>
      <c r="E1" s="132"/>
      <c r="F1" s="133"/>
      <c r="G1" s="3"/>
      <c r="H1" s="3"/>
    </row>
    <row r="2" spans="1:8" ht="15" customHeight="1" x14ac:dyDescent="0.2">
      <c r="A2" s="125"/>
      <c r="B2" s="126"/>
      <c r="C2" s="127"/>
      <c r="D2" s="134"/>
      <c r="E2" s="135"/>
      <c r="F2" s="136"/>
      <c r="G2" s="3"/>
      <c r="H2" s="3"/>
    </row>
    <row r="3" spans="1:8" ht="15" customHeight="1" x14ac:dyDescent="0.2">
      <c r="A3" s="125"/>
      <c r="B3" s="126"/>
      <c r="C3" s="127"/>
      <c r="D3" s="134" t="s">
        <v>2</v>
      </c>
      <c r="E3" s="135"/>
      <c r="F3" s="136"/>
      <c r="G3" s="3"/>
      <c r="H3" s="3"/>
    </row>
    <row r="4" spans="1:8" ht="15" customHeight="1" x14ac:dyDescent="0.2">
      <c r="A4" s="125"/>
      <c r="B4" s="126"/>
      <c r="C4" s="127"/>
      <c r="D4" s="134"/>
      <c r="E4" s="135"/>
      <c r="F4" s="136"/>
      <c r="G4" s="3"/>
      <c r="H4" s="3"/>
    </row>
    <row r="5" spans="1:8" ht="15" customHeight="1" x14ac:dyDescent="0.2">
      <c r="A5" s="125"/>
      <c r="B5" s="126"/>
      <c r="C5" s="127"/>
      <c r="D5" s="134" t="s">
        <v>3</v>
      </c>
      <c r="E5" s="135"/>
      <c r="F5" s="136"/>
      <c r="G5" s="3"/>
      <c r="H5" s="3"/>
    </row>
    <row r="6" spans="1:8" ht="15" customHeight="1" x14ac:dyDescent="0.2">
      <c r="A6" s="125"/>
      <c r="B6" s="126"/>
      <c r="C6" s="127"/>
      <c r="D6" s="134"/>
      <c r="E6" s="135"/>
      <c r="F6" s="136"/>
      <c r="G6" s="3"/>
      <c r="H6" s="3"/>
    </row>
    <row r="7" spans="1:8" ht="15" customHeight="1" x14ac:dyDescent="0.2">
      <c r="A7" s="128"/>
      <c r="B7" s="129"/>
      <c r="C7" s="130"/>
      <c r="D7" s="137" t="s">
        <v>60</v>
      </c>
      <c r="E7" s="138"/>
      <c r="F7" s="139"/>
      <c r="G7" s="3"/>
      <c r="H7" s="3"/>
    </row>
    <row r="8" spans="1:8" ht="15.75" x14ac:dyDescent="0.2">
      <c r="A8" s="9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</row>
    <row r="9" spans="1:8" ht="15.75" x14ac:dyDescent="0.25">
      <c r="A9" s="103" t="s">
        <v>11</v>
      </c>
      <c r="B9" s="103"/>
      <c r="C9" s="103"/>
      <c r="D9" s="103"/>
      <c r="E9" s="103"/>
      <c r="F9" s="103"/>
    </row>
    <row r="10" spans="1:8" x14ac:dyDescent="0.2">
      <c r="A10" s="104">
        <v>1</v>
      </c>
      <c r="B10" s="6" t="s">
        <v>149</v>
      </c>
      <c r="C10" s="7" t="s">
        <v>12</v>
      </c>
      <c r="D10" s="5" t="s">
        <v>13</v>
      </c>
      <c r="E10" s="6" t="s">
        <v>14</v>
      </c>
      <c r="F10" s="6">
        <v>8</v>
      </c>
    </row>
    <row r="11" spans="1:8" x14ac:dyDescent="0.2">
      <c r="A11" s="104"/>
      <c r="B11" s="105" t="s">
        <v>15</v>
      </c>
      <c r="C11" s="105"/>
      <c r="D11" s="106" t="s">
        <v>21</v>
      </c>
      <c r="E11" s="106"/>
      <c r="F11" s="106"/>
    </row>
    <row r="12" spans="1:8" x14ac:dyDescent="0.2">
      <c r="A12" s="104"/>
      <c r="B12" s="105"/>
      <c r="C12" s="105"/>
      <c r="D12" s="106"/>
      <c r="E12" s="106"/>
      <c r="F12" s="106"/>
    </row>
    <row r="13" spans="1:8" x14ac:dyDescent="0.2">
      <c r="A13" s="104">
        <v>3</v>
      </c>
      <c r="B13" s="6" t="s">
        <v>149</v>
      </c>
      <c r="C13" s="7" t="s">
        <v>17</v>
      </c>
      <c r="D13" s="5" t="s">
        <v>18</v>
      </c>
      <c r="E13" s="6" t="s">
        <v>14</v>
      </c>
      <c r="F13" s="14">
        <f>314.01+148.81</f>
        <v>462.82</v>
      </c>
    </row>
    <row r="14" spans="1:8" x14ac:dyDescent="0.2">
      <c r="A14" s="104"/>
      <c r="B14" s="105" t="s">
        <v>15</v>
      </c>
      <c r="C14" s="105"/>
      <c r="D14" s="106" t="s">
        <v>180</v>
      </c>
      <c r="E14" s="106"/>
      <c r="F14" s="106"/>
    </row>
    <row r="15" spans="1:8" x14ac:dyDescent="0.2">
      <c r="A15" s="104"/>
      <c r="B15" s="105"/>
      <c r="C15" s="105"/>
      <c r="D15" s="106"/>
      <c r="E15" s="106"/>
      <c r="F15" s="106"/>
    </row>
    <row r="16" spans="1:8" ht="15.75" x14ac:dyDescent="0.2">
      <c r="A16" s="104" t="s">
        <v>78</v>
      </c>
      <c r="B16" s="104"/>
      <c r="C16" s="104"/>
      <c r="D16" s="104"/>
      <c r="E16" s="104"/>
      <c r="F16" s="104"/>
    </row>
    <row r="17" spans="1:9" x14ac:dyDescent="0.2">
      <c r="A17" s="107">
        <v>2</v>
      </c>
      <c r="B17" s="5" t="s">
        <v>19</v>
      </c>
      <c r="C17" s="7" t="s">
        <v>64</v>
      </c>
      <c r="D17" s="5" t="s">
        <v>65</v>
      </c>
      <c r="E17" s="11" t="s">
        <v>20</v>
      </c>
      <c r="F17" s="14">
        <f>'Base para cálculo Estaca'!C13</f>
        <v>312</v>
      </c>
    </row>
    <row r="18" spans="1:9" x14ac:dyDescent="0.2">
      <c r="A18" s="108"/>
      <c r="B18" s="99" t="s">
        <v>15</v>
      </c>
      <c r="C18" s="100"/>
      <c r="D18" s="110" t="s">
        <v>223</v>
      </c>
      <c r="E18" s="111"/>
      <c r="F18" s="112"/>
    </row>
    <row r="19" spans="1:9" x14ac:dyDescent="0.2">
      <c r="A19" s="109"/>
      <c r="B19" s="101"/>
      <c r="C19" s="102"/>
      <c r="D19" s="113"/>
      <c r="E19" s="114"/>
      <c r="F19" s="115"/>
    </row>
    <row r="20" spans="1:9" x14ac:dyDescent="0.2">
      <c r="A20" s="107">
        <v>3</v>
      </c>
      <c r="B20" s="6" t="s">
        <v>149</v>
      </c>
      <c r="C20" s="7" t="s">
        <v>24</v>
      </c>
      <c r="D20" s="21" t="s">
        <v>26</v>
      </c>
      <c r="E20" s="6" t="s">
        <v>25</v>
      </c>
      <c r="F20" s="14">
        <f>'Base para cálculo Estaca'!E13</f>
        <v>356.32</v>
      </c>
    </row>
    <row r="21" spans="1:9" ht="15.6" customHeight="1" x14ac:dyDescent="0.2">
      <c r="A21" s="108"/>
      <c r="B21" s="99" t="s">
        <v>15</v>
      </c>
      <c r="C21" s="100"/>
      <c r="D21" s="110" t="s">
        <v>190</v>
      </c>
      <c r="E21" s="111"/>
      <c r="F21" s="112"/>
    </row>
    <row r="22" spans="1:9" ht="15.6" customHeight="1" x14ac:dyDescent="0.2">
      <c r="A22" s="109"/>
      <c r="B22" s="101"/>
      <c r="C22" s="102"/>
      <c r="D22" s="113"/>
      <c r="E22" s="114"/>
      <c r="F22" s="115"/>
    </row>
    <row r="23" spans="1:9" ht="15.6" customHeight="1" x14ac:dyDescent="0.2">
      <c r="A23" s="107">
        <v>5</v>
      </c>
      <c r="B23" s="6" t="s">
        <v>149</v>
      </c>
      <c r="C23" s="22" t="s">
        <v>34</v>
      </c>
      <c r="D23" s="23" t="s">
        <v>35</v>
      </c>
      <c r="E23" s="6" t="s">
        <v>25</v>
      </c>
      <c r="F23" s="14">
        <f>'Base para cálculo Estaca'!H13</f>
        <v>219.57599999999999</v>
      </c>
    </row>
    <row r="24" spans="1:9" ht="15.6" customHeight="1" x14ac:dyDescent="0.2">
      <c r="A24" s="108"/>
      <c r="B24" s="99" t="s">
        <v>15</v>
      </c>
      <c r="C24" s="100"/>
      <c r="D24" s="110" t="s">
        <v>191</v>
      </c>
      <c r="E24" s="111"/>
      <c r="F24" s="112"/>
    </row>
    <row r="25" spans="1:9" ht="15.6" customHeight="1" x14ac:dyDescent="0.2">
      <c r="A25" s="109"/>
      <c r="B25" s="101"/>
      <c r="C25" s="102"/>
      <c r="D25" s="113"/>
      <c r="E25" s="114"/>
      <c r="F25" s="115"/>
    </row>
    <row r="26" spans="1:9" ht="15.6" customHeight="1" x14ac:dyDescent="0.2">
      <c r="A26" s="104" t="s">
        <v>179</v>
      </c>
      <c r="B26" s="104"/>
      <c r="C26" s="104"/>
      <c r="D26" s="104"/>
      <c r="E26" s="104"/>
      <c r="F26" s="104"/>
    </row>
    <row r="27" spans="1:9" x14ac:dyDescent="0.2">
      <c r="A27" s="104">
        <v>1</v>
      </c>
      <c r="B27" s="6" t="s">
        <v>149</v>
      </c>
      <c r="C27" s="7" t="s">
        <v>194</v>
      </c>
      <c r="D27" s="10" t="s">
        <v>195</v>
      </c>
      <c r="E27" s="6" t="s">
        <v>16</v>
      </c>
      <c r="F27" s="14">
        <f>'Base para cálculo Baldrame'!C13</f>
        <v>23.757000000000001</v>
      </c>
      <c r="G27" s="72"/>
      <c r="H27" s="72"/>
      <c r="I27" s="72"/>
    </row>
    <row r="28" spans="1:9" x14ac:dyDescent="0.2">
      <c r="A28" s="104"/>
      <c r="B28" s="105" t="s">
        <v>15</v>
      </c>
      <c r="C28" s="105"/>
      <c r="D28" s="106"/>
      <c r="E28" s="106"/>
      <c r="F28" s="106"/>
    </row>
    <row r="29" spans="1:9" x14ac:dyDescent="0.2">
      <c r="A29" s="104"/>
      <c r="B29" s="105"/>
      <c r="C29" s="105"/>
      <c r="D29" s="106"/>
      <c r="E29" s="106"/>
      <c r="F29" s="106"/>
    </row>
    <row r="30" spans="1:9" x14ac:dyDescent="0.2">
      <c r="A30" s="104">
        <v>2</v>
      </c>
      <c r="B30" s="6" t="s">
        <v>19</v>
      </c>
      <c r="C30" s="7" t="s">
        <v>192</v>
      </c>
      <c r="D30" s="5" t="s">
        <v>193</v>
      </c>
      <c r="E30" s="6" t="s">
        <v>20</v>
      </c>
      <c r="F30" s="14">
        <f>'Base para cálculo Baldrame'!F13</f>
        <v>316.76</v>
      </c>
    </row>
    <row r="31" spans="1:9" x14ac:dyDescent="0.2">
      <c r="A31" s="104"/>
      <c r="B31" s="105" t="s">
        <v>15</v>
      </c>
      <c r="C31" s="105"/>
      <c r="D31" s="106" t="s">
        <v>224</v>
      </c>
      <c r="E31" s="106"/>
      <c r="F31" s="106"/>
    </row>
    <row r="32" spans="1:9" x14ac:dyDescent="0.2">
      <c r="A32" s="104"/>
      <c r="B32" s="105"/>
      <c r="C32" s="105"/>
      <c r="D32" s="106"/>
      <c r="E32" s="106"/>
      <c r="F32" s="106"/>
    </row>
    <row r="33" spans="1:6" x14ac:dyDescent="0.2">
      <c r="A33" s="107">
        <v>3</v>
      </c>
      <c r="B33" s="6" t="s">
        <v>149</v>
      </c>
      <c r="C33" s="7" t="s">
        <v>29</v>
      </c>
      <c r="D33" s="5" t="s">
        <v>59</v>
      </c>
      <c r="E33" s="6" t="s">
        <v>16</v>
      </c>
      <c r="F33" s="14">
        <f>'Base para cálculo Baldrame'!B13</f>
        <v>19.005600000000001</v>
      </c>
    </row>
    <row r="34" spans="1:6" ht="15.6" customHeight="1" x14ac:dyDescent="0.2">
      <c r="A34" s="108"/>
      <c r="B34" s="99" t="s">
        <v>15</v>
      </c>
      <c r="C34" s="100"/>
      <c r="D34" s="110" t="s">
        <v>225</v>
      </c>
      <c r="E34" s="111"/>
      <c r="F34" s="112"/>
    </row>
    <row r="35" spans="1:6" ht="15.6" customHeight="1" x14ac:dyDescent="0.2">
      <c r="A35" s="109"/>
      <c r="B35" s="101"/>
      <c r="C35" s="102"/>
      <c r="D35" s="113"/>
      <c r="E35" s="114"/>
      <c r="F35" s="115"/>
    </row>
    <row r="36" spans="1:6" ht="15.6" customHeight="1" x14ac:dyDescent="0.2">
      <c r="A36" s="107">
        <v>4</v>
      </c>
      <c r="B36" s="6" t="s">
        <v>149</v>
      </c>
      <c r="C36" s="7" t="s">
        <v>100</v>
      </c>
      <c r="D36" s="21" t="s">
        <v>101</v>
      </c>
      <c r="E36" s="6" t="s">
        <v>14</v>
      </c>
      <c r="F36" s="14">
        <f>'Base para cálculo Baldrame'!I13</f>
        <v>190.05600000000001</v>
      </c>
    </row>
    <row r="37" spans="1:6" ht="15.6" customHeight="1" x14ac:dyDescent="0.2">
      <c r="A37" s="108"/>
      <c r="B37" s="105" t="s">
        <v>15</v>
      </c>
      <c r="C37" s="105"/>
      <c r="D37" s="111" t="s">
        <v>137</v>
      </c>
      <c r="E37" s="111"/>
      <c r="F37" s="112"/>
    </row>
    <row r="38" spans="1:6" ht="15.6" customHeight="1" x14ac:dyDescent="0.2">
      <c r="A38" s="109"/>
      <c r="B38" s="105"/>
      <c r="C38" s="105"/>
      <c r="D38" s="114"/>
      <c r="E38" s="114"/>
      <c r="F38" s="115"/>
    </row>
    <row r="39" spans="1:6" ht="15.75" x14ac:dyDescent="0.2">
      <c r="A39" s="119" t="s">
        <v>52</v>
      </c>
      <c r="B39" s="120"/>
      <c r="C39" s="120"/>
      <c r="D39" s="120"/>
      <c r="E39" s="120"/>
      <c r="F39" s="121"/>
    </row>
    <row r="40" spans="1:6" x14ac:dyDescent="0.2">
      <c r="A40" s="104">
        <v>1</v>
      </c>
      <c r="B40" s="6" t="s">
        <v>149</v>
      </c>
      <c r="C40" s="7" t="s">
        <v>70</v>
      </c>
      <c r="D40" s="10" t="s">
        <v>71</v>
      </c>
      <c r="E40" s="6" t="s">
        <v>16</v>
      </c>
      <c r="F40" s="14">
        <f>4*'Base - Cx Necro'!A8</f>
        <v>11.759999999999998</v>
      </c>
    </row>
    <row r="41" spans="1:6" x14ac:dyDescent="0.2">
      <c r="A41" s="104"/>
      <c r="B41" s="105" t="s">
        <v>15</v>
      </c>
      <c r="C41" s="105"/>
      <c r="D41" s="116" t="s">
        <v>181</v>
      </c>
      <c r="E41" s="106"/>
      <c r="F41" s="106"/>
    </row>
    <row r="42" spans="1:6" x14ac:dyDescent="0.2">
      <c r="A42" s="104"/>
      <c r="B42" s="105"/>
      <c r="C42" s="105"/>
      <c r="D42" s="106"/>
      <c r="E42" s="106"/>
      <c r="F42" s="106"/>
    </row>
    <row r="43" spans="1:6" x14ac:dyDescent="0.2">
      <c r="A43" s="104">
        <v>2</v>
      </c>
      <c r="B43" s="6" t="s">
        <v>149</v>
      </c>
      <c r="C43" s="7" t="s">
        <v>27</v>
      </c>
      <c r="D43" s="5" t="s">
        <v>28</v>
      </c>
      <c r="E43" s="6" t="s">
        <v>14</v>
      </c>
      <c r="F43" s="14">
        <f>4*'Base - Cx Necro'!B8</f>
        <v>12.319999999999999</v>
      </c>
    </row>
    <row r="44" spans="1:6" x14ac:dyDescent="0.2">
      <c r="A44" s="104"/>
      <c r="B44" s="105" t="s">
        <v>15</v>
      </c>
      <c r="C44" s="105"/>
      <c r="D44" s="116" t="s">
        <v>182</v>
      </c>
      <c r="E44" s="106"/>
      <c r="F44" s="106"/>
    </row>
    <row r="45" spans="1:6" x14ac:dyDescent="0.2">
      <c r="A45" s="104"/>
      <c r="B45" s="105"/>
      <c r="C45" s="105"/>
      <c r="D45" s="106"/>
      <c r="E45" s="106"/>
      <c r="F45" s="106"/>
    </row>
    <row r="46" spans="1:6" x14ac:dyDescent="0.2">
      <c r="A46" s="104">
        <v>3</v>
      </c>
      <c r="B46" s="6" t="s">
        <v>149</v>
      </c>
      <c r="C46" s="8" t="s">
        <v>29</v>
      </c>
      <c r="D46" s="5" t="s">
        <v>30</v>
      </c>
      <c r="E46" s="6" t="s">
        <v>16</v>
      </c>
      <c r="F46" s="14">
        <f>4*'Base - Cx Necro'!C8</f>
        <v>1.5679999999999998</v>
      </c>
    </row>
    <row r="47" spans="1:6" x14ac:dyDescent="0.2">
      <c r="A47" s="104"/>
      <c r="B47" s="105" t="s">
        <v>15</v>
      </c>
      <c r="C47" s="105"/>
      <c r="D47" s="116" t="s">
        <v>183</v>
      </c>
      <c r="E47" s="106"/>
      <c r="F47" s="106"/>
    </row>
    <row r="48" spans="1:6" x14ac:dyDescent="0.2">
      <c r="A48" s="104"/>
      <c r="B48" s="105"/>
      <c r="C48" s="105"/>
      <c r="D48" s="106"/>
      <c r="E48" s="106"/>
      <c r="F48" s="106"/>
    </row>
    <row r="49" spans="1:6" x14ac:dyDescent="0.2">
      <c r="A49" s="104">
        <v>4</v>
      </c>
      <c r="B49" s="6" t="s">
        <v>149</v>
      </c>
      <c r="C49" s="7" t="s">
        <v>22</v>
      </c>
      <c r="D49" s="5" t="s">
        <v>23</v>
      </c>
      <c r="E49" s="6" t="s">
        <v>14</v>
      </c>
      <c r="F49" s="14">
        <f>4*'Base - Cx Necro'!D8</f>
        <v>22.4</v>
      </c>
    </row>
    <row r="50" spans="1:6" x14ac:dyDescent="0.2">
      <c r="A50" s="104"/>
      <c r="B50" s="105" t="s">
        <v>15</v>
      </c>
      <c r="C50" s="105"/>
      <c r="D50" s="116" t="s">
        <v>184</v>
      </c>
      <c r="E50" s="106"/>
      <c r="F50" s="106"/>
    </row>
    <row r="51" spans="1:6" x14ac:dyDescent="0.2">
      <c r="A51" s="104"/>
      <c r="B51" s="105"/>
      <c r="C51" s="105"/>
      <c r="D51" s="106"/>
      <c r="E51" s="106"/>
      <c r="F51" s="106"/>
    </row>
    <row r="52" spans="1:6" x14ac:dyDescent="0.2">
      <c r="A52" s="107">
        <v>5</v>
      </c>
      <c r="B52" s="6" t="s">
        <v>149</v>
      </c>
      <c r="C52" s="7" t="s">
        <v>44</v>
      </c>
      <c r="D52" s="5" t="s">
        <v>43</v>
      </c>
      <c r="E52" s="6" t="s">
        <v>14</v>
      </c>
      <c r="F52" s="14">
        <f>4*'Base - Cx Necro'!E8</f>
        <v>22.066400000000002</v>
      </c>
    </row>
    <row r="53" spans="1:6" ht="15.6" customHeight="1" x14ac:dyDescent="0.2">
      <c r="A53" s="108"/>
      <c r="B53" s="99" t="s">
        <v>15</v>
      </c>
      <c r="C53" s="100"/>
      <c r="D53" s="117" t="s">
        <v>185</v>
      </c>
      <c r="E53" s="111"/>
      <c r="F53" s="112"/>
    </row>
    <row r="54" spans="1:6" ht="15.6" customHeight="1" x14ac:dyDescent="0.2">
      <c r="A54" s="109"/>
      <c r="B54" s="101"/>
      <c r="C54" s="102"/>
      <c r="D54" s="113"/>
      <c r="E54" s="114"/>
      <c r="F54" s="115"/>
    </row>
    <row r="55" spans="1:6" ht="15.6" customHeight="1" x14ac:dyDescent="0.2">
      <c r="A55" s="107">
        <v>6</v>
      </c>
      <c r="B55" s="6" t="s">
        <v>149</v>
      </c>
      <c r="C55" s="7" t="s">
        <v>100</v>
      </c>
      <c r="D55" s="21" t="s">
        <v>101</v>
      </c>
      <c r="E55" s="6" t="s">
        <v>14</v>
      </c>
      <c r="F55" s="14">
        <f>4*'Base - Cx Necro'!F8</f>
        <v>22.066400000000002</v>
      </c>
    </row>
    <row r="56" spans="1:6" ht="15.6" customHeight="1" x14ac:dyDescent="0.2">
      <c r="A56" s="108"/>
      <c r="B56" s="105" t="s">
        <v>15</v>
      </c>
      <c r="C56" s="105"/>
      <c r="D56" s="118" t="s">
        <v>186</v>
      </c>
      <c r="E56" s="111"/>
      <c r="F56" s="112"/>
    </row>
    <row r="57" spans="1:6" ht="15.6" customHeight="1" x14ac:dyDescent="0.2">
      <c r="A57" s="109"/>
      <c r="B57" s="105"/>
      <c r="C57" s="105"/>
      <c r="D57" s="114"/>
      <c r="E57" s="114"/>
      <c r="F57" s="115"/>
    </row>
    <row r="58" spans="1:6" ht="15.75" x14ac:dyDescent="0.2">
      <c r="A58" s="104" t="s">
        <v>0</v>
      </c>
      <c r="B58" s="104"/>
      <c r="C58" s="104"/>
      <c r="D58" s="104"/>
      <c r="E58" s="104"/>
      <c r="F58" s="104"/>
    </row>
    <row r="59" spans="1:6" x14ac:dyDescent="0.2">
      <c r="A59" s="104">
        <v>1</v>
      </c>
      <c r="B59" s="6" t="s">
        <v>149</v>
      </c>
      <c r="C59" s="7" t="s">
        <v>22</v>
      </c>
      <c r="D59" s="5" t="s">
        <v>31</v>
      </c>
      <c r="E59" s="6" t="s">
        <v>14</v>
      </c>
      <c r="F59" s="14">
        <f>'Base para cálculo Gaveta'!B13</f>
        <v>868.06090000000006</v>
      </c>
    </row>
    <row r="60" spans="1:6" x14ac:dyDescent="0.2">
      <c r="A60" s="104"/>
      <c r="B60" s="105" t="s">
        <v>15</v>
      </c>
      <c r="C60" s="105"/>
      <c r="D60" s="106" t="s">
        <v>99</v>
      </c>
      <c r="E60" s="106"/>
      <c r="F60" s="106"/>
    </row>
    <row r="61" spans="1:6" x14ac:dyDescent="0.2">
      <c r="A61" s="104"/>
      <c r="B61" s="105"/>
      <c r="C61" s="105"/>
      <c r="D61" s="106"/>
      <c r="E61" s="106"/>
      <c r="F61" s="106"/>
    </row>
    <row r="62" spans="1:6" x14ac:dyDescent="0.2">
      <c r="A62" s="104">
        <v>2</v>
      </c>
      <c r="B62" s="6" t="s">
        <v>149</v>
      </c>
      <c r="C62" s="7" t="s">
        <v>24</v>
      </c>
      <c r="D62" s="5" t="s">
        <v>26</v>
      </c>
      <c r="E62" s="6" t="s">
        <v>25</v>
      </c>
      <c r="F62" s="14">
        <f>'Base para cálculo Gaveta'!D13</f>
        <v>329.83180000000004</v>
      </c>
    </row>
    <row r="63" spans="1:6" ht="15" customHeight="1" x14ac:dyDescent="0.2">
      <c r="A63" s="104"/>
      <c r="B63" s="99" t="s">
        <v>15</v>
      </c>
      <c r="C63" s="100"/>
      <c r="D63" s="110" t="s">
        <v>66</v>
      </c>
      <c r="E63" s="111"/>
      <c r="F63" s="112"/>
    </row>
    <row r="64" spans="1:6" ht="15" customHeight="1" x14ac:dyDescent="0.2">
      <c r="A64" s="104"/>
      <c r="B64" s="101"/>
      <c r="C64" s="102"/>
      <c r="D64" s="113"/>
      <c r="E64" s="114"/>
      <c r="F64" s="115"/>
    </row>
    <row r="65" spans="1:6" x14ac:dyDescent="0.2">
      <c r="A65" s="104">
        <v>3</v>
      </c>
      <c r="B65" s="6" t="s">
        <v>149</v>
      </c>
      <c r="C65" s="7" t="s">
        <v>29</v>
      </c>
      <c r="D65" s="5" t="s">
        <v>30</v>
      </c>
      <c r="E65" s="6" t="s">
        <v>16</v>
      </c>
      <c r="F65" s="14">
        <f>'Base para cálculo Gaveta'!G13</f>
        <v>2.2176792400000003</v>
      </c>
    </row>
    <row r="66" spans="1:6" ht="15" customHeight="1" x14ac:dyDescent="0.2">
      <c r="A66" s="104"/>
      <c r="B66" s="105" t="s">
        <v>15</v>
      </c>
      <c r="C66" s="105"/>
      <c r="D66" s="106" t="s">
        <v>80</v>
      </c>
      <c r="E66" s="106"/>
      <c r="F66" s="106"/>
    </row>
    <row r="67" spans="1:6" ht="15" customHeight="1" x14ac:dyDescent="0.2">
      <c r="A67" s="104"/>
      <c r="B67" s="105"/>
      <c r="C67" s="105"/>
      <c r="D67" s="106"/>
      <c r="E67" s="106"/>
      <c r="F67" s="106"/>
    </row>
    <row r="68" spans="1:6" x14ac:dyDescent="0.2">
      <c r="A68" s="104">
        <v>4</v>
      </c>
      <c r="B68" s="6" t="s">
        <v>149</v>
      </c>
      <c r="C68" s="7" t="s">
        <v>27</v>
      </c>
      <c r="D68" s="5" t="s">
        <v>28</v>
      </c>
      <c r="E68" s="6" t="s">
        <v>14</v>
      </c>
      <c r="F68" s="14">
        <f>'Base para cálculo Lajes'!C13</f>
        <v>190.8168</v>
      </c>
    </row>
    <row r="69" spans="1:6" x14ac:dyDescent="0.2">
      <c r="A69" s="104"/>
      <c r="B69" s="105" t="s">
        <v>15</v>
      </c>
      <c r="C69" s="105"/>
      <c r="D69" s="106" t="s">
        <v>67</v>
      </c>
      <c r="E69" s="106"/>
      <c r="F69" s="106"/>
    </row>
    <row r="70" spans="1:6" x14ac:dyDescent="0.2">
      <c r="A70" s="104"/>
      <c r="B70" s="105"/>
      <c r="C70" s="105"/>
      <c r="D70" s="106"/>
      <c r="E70" s="106"/>
      <c r="F70" s="106"/>
    </row>
    <row r="71" spans="1:6" x14ac:dyDescent="0.2">
      <c r="A71" s="104">
        <v>5</v>
      </c>
      <c r="B71" s="6" t="s">
        <v>19</v>
      </c>
      <c r="C71" s="7" t="s">
        <v>32</v>
      </c>
      <c r="D71" s="5" t="s">
        <v>33</v>
      </c>
      <c r="E71" s="6" t="s">
        <v>14</v>
      </c>
      <c r="F71" s="14">
        <f>'Base para cálculo Lajes'!F13</f>
        <v>935.06939999999997</v>
      </c>
    </row>
    <row r="72" spans="1:6" x14ac:dyDescent="0.2">
      <c r="A72" s="104"/>
      <c r="B72" s="105" t="s">
        <v>15</v>
      </c>
      <c r="C72" s="105"/>
      <c r="D72" s="106" t="s">
        <v>53</v>
      </c>
      <c r="E72" s="106"/>
      <c r="F72" s="106"/>
    </row>
    <row r="73" spans="1:6" x14ac:dyDescent="0.2">
      <c r="A73" s="104"/>
      <c r="B73" s="105"/>
      <c r="C73" s="105"/>
      <c r="D73" s="106"/>
      <c r="E73" s="106"/>
      <c r="F73" s="106"/>
    </row>
    <row r="74" spans="1:6" x14ac:dyDescent="0.2">
      <c r="A74" s="104">
        <v>6</v>
      </c>
      <c r="B74" s="6" t="s">
        <v>149</v>
      </c>
      <c r="C74" s="7" t="s">
        <v>34</v>
      </c>
      <c r="D74" s="5" t="s">
        <v>35</v>
      </c>
      <c r="E74" s="6" t="s">
        <v>25</v>
      </c>
      <c r="F74" s="14">
        <f>'Base para cálculo Lajes'!D13</f>
        <v>1836.0236</v>
      </c>
    </row>
    <row r="75" spans="1:6" x14ac:dyDescent="0.2">
      <c r="A75" s="104"/>
      <c r="B75" s="105" t="s">
        <v>15</v>
      </c>
      <c r="C75" s="105"/>
      <c r="D75" s="106" t="s">
        <v>68</v>
      </c>
      <c r="E75" s="106"/>
      <c r="F75" s="106"/>
    </row>
    <row r="76" spans="1:6" x14ac:dyDescent="0.2">
      <c r="A76" s="104"/>
      <c r="B76" s="105"/>
      <c r="C76" s="105"/>
      <c r="D76" s="106"/>
      <c r="E76" s="106"/>
      <c r="F76" s="106"/>
    </row>
    <row r="77" spans="1:6" x14ac:dyDescent="0.2">
      <c r="A77" s="104">
        <v>7</v>
      </c>
      <c r="B77" s="6" t="s">
        <v>149</v>
      </c>
      <c r="C77" s="7" t="s">
        <v>29</v>
      </c>
      <c r="D77" s="5" t="s">
        <v>30</v>
      </c>
      <c r="E77" s="6" t="s">
        <v>16</v>
      </c>
      <c r="F77" s="14">
        <f>'Base para cálculo Lajes'!E13</f>
        <v>93.506940000000014</v>
      </c>
    </row>
    <row r="78" spans="1:6" x14ac:dyDescent="0.2">
      <c r="A78" s="104"/>
      <c r="B78" s="105" t="s">
        <v>15</v>
      </c>
      <c r="C78" s="105"/>
      <c r="D78" s="106" t="s">
        <v>69</v>
      </c>
      <c r="E78" s="106"/>
      <c r="F78" s="106"/>
    </row>
    <row r="79" spans="1:6" x14ac:dyDescent="0.2">
      <c r="A79" s="104"/>
      <c r="B79" s="105"/>
      <c r="C79" s="105"/>
      <c r="D79" s="106"/>
      <c r="E79" s="106"/>
      <c r="F79" s="106"/>
    </row>
    <row r="80" spans="1:6" x14ac:dyDescent="0.2">
      <c r="A80" s="104">
        <v>8</v>
      </c>
      <c r="B80" s="6" t="s">
        <v>149</v>
      </c>
      <c r="C80" s="7" t="s">
        <v>44</v>
      </c>
      <c r="D80" s="5" t="s">
        <v>43</v>
      </c>
      <c r="E80" s="6" t="s">
        <v>14</v>
      </c>
      <c r="F80" s="14">
        <f>'Base para cálculo Gaveta'!F13</f>
        <v>2084.1823999999997</v>
      </c>
    </row>
    <row r="81" spans="1:6" x14ac:dyDescent="0.2">
      <c r="A81" s="104"/>
      <c r="B81" s="105" t="s">
        <v>15</v>
      </c>
      <c r="C81" s="105"/>
      <c r="D81" s="106" t="s">
        <v>56</v>
      </c>
      <c r="E81" s="106"/>
      <c r="F81" s="106"/>
    </row>
    <row r="82" spans="1:6" x14ac:dyDescent="0.2">
      <c r="A82" s="104"/>
      <c r="B82" s="105"/>
      <c r="C82" s="105"/>
      <c r="D82" s="106"/>
      <c r="E82" s="106"/>
      <c r="F82" s="106"/>
    </row>
    <row r="83" spans="1:6" x14ac:dyDescent="0.2">
      <c r="A83" s="107">
        <v>9</v>
      </c>
      <c r="B83" s="6" t="s">
        <v>149</v>
      </c>
      <c r="C83" s="7" t="s">
        <v>37</v>
      </c>
      <c r="D83" s="5" t="s">
        <v>40</v>
      </c>
      <c r="E83" s="6" t="s">
        <v>20</v>
      </c>
      <c r="F83" s="6">
        <f>'Base para cálculo Hidraúlica'!B14+'Base para cálculo Hidraúlica'!C14</f>
        <v>395.98</v>
      </c>
    </row>
    <row r="84" spans="1:6" ht="15.6" customHeight="1" x14ac:dyDescent="0.2">
      <c r="A84" s="108"/>
      <c r="B84" s="99" t="s">
        <v>15</v>
      </c>
      <c r="C84" s="100"/>
      <c r="D84" s="110" t="s">
        <v>54</v>
      </c>
      <c r="E84" s="111"/>
      <c r="F84" s="112"/>
    </row>
    <row r="85" spans="1:6" ht="15.6" customHeight="1" x14ac:dyDescent="0.2">
      <c r="A85" s="109"/>
      <c r="B85" s="101"/>
      <c r="C85" s="102"/>
      <c r="D85" s="113"/>
      <c r="E85" s="114"/>
      <c r="F85" s="115"/>
    </row>
    <row r="86" spans="1:6" x14ac:dyDescent="0.2">
      <c r="A86" s="107">
        <v>10</v>
      </c>
      <c r="B86" s="6" t="s">
        <v>19</v>
      </c>
      <c r="C86" s="7" t="s">
        <v>38</v>
      </c>
      <c r="D86" s="5" t="s">
        <v>41</v>
      </c>
      <c r="E86" s="6" t="s">
        <v>9</v>
      </c>
      <c r="F86" s="6">
        <f>'Base para cálculo Hidraúlica'!D14</f>
        <v>370</v>
      </c>
    </row>
    <row r="87" spans="1:6" ht="15.6" customHeight="1" x14ac:dyDescent="0.2">
      <c r="A87" s="108"/>
      <c r="B87" s="99" t="s">
        <v>15</v>
      </c>
      <c r="C87" s="100"/>
      <c r="D87" s="110" t="s">
        <v>55</v>
      </c>
      <c r="E87" s="111"/>
      <c r="F87" s="112"/>
    </row>
    <row r="88" spans="1:6" ht="15.6" customHeight="1" x14ac:dyDescent="0.2">
      <c r="A88" s="109"/>
      <c r="B88" s="101"/>
      <c r="C88" s="102"/>
      <c r="D88" s="113"/>
      <c r="E88" s="114"/>
      <c r="F88" s="115"/>
    </row>
    <row r="89" spans="1:6" x14ac:dyDescent="0.2">
      <c r="A89" s="107">
        <v>11</v>
      </c>
      <c r="B89" s="6" t="s">
        <v>19</v>
      </c>
      <c r="C89" s="7" t="s">
        <v>39</v>
      </c>
      <c r="D89" s="5" t="s">
        <v>42</v>
      </c>
      <c r="E89" s="6" t="s">
        <v>9</v>
      </c>
      <c r="F89" s="6">
        <f>'Base para cálculo Hidraúlica'!E14</f>
        <v>370</v>
      </c>
    </row>
    <row r="90" spans="1:6" ht="15.6" customHeight="1" x14ac:dyDescent="0.2">
      <c r="A90" s="108"/>
      <c r="B90" s="99" t="s">
        <v>15</v>
      </c>
      <c r="C90" s="100"/>
      <c r="D90" s="110" t="s">
        <v>55</v>
      </c>
      <c r="E90" s="111"/>
      <c r="F90" s="112"/>
    </row>
    <row r="91" spans="1:6" ht="15.6" customHeight="1" x14ac:dyDescent="0.2">
      <c r="A91" s="109"/>
      <c r="B91" s="101"/>
      <c r="C91" s="102"/>
      <c r="D91" s="113"/>
      <c r="E91" s="114"/>
      <c r="F91" s="115"/>
    </row>
    <row r="92" spans="1:6" ht="15.75" x14ac:dyDescent="0.25">
      <c r="A92" s="103" t="s">
        <v>36</v>
      </c>
      <c r="B92" s="103"/>
      <c r="C92" s="103"/>
      <c r="D92" s="103"/>
      <c r="E92" s="103"/>
      <c r="F92" s="103"/>
    </row>
    <row r="93" spans="1:6" x14ac:dyDescent="0.2">
      <c r="A93" s="107">
        <v>1</v>
      </c>
      <c r="B93" s="6" t="s">
        <v>149</v>
      </c>
      <c r="C93" s="7" t="s">
        <v>81</v>
      </c>
      <c r="D93" s="5" t="s">
        <v>82</v>
      </c>
      <c r="E93" s="6" t="s">
        <v>14</v>
      </c>
      <c r="F93" s="14">
        <f>'Base para cálculo Gaveta'!E13</f>
        <v>317.1019</v>
      </c>
    </row>
    <row r="94" spans="1:6" ht="15.6" customHeight="1" x14ac:dyDescent="0.2">
      <c r="A94" s="108"/>
      <c r="B94" s="105" t="s">
        <v>15</v>
      </c>
      <c r="C94" s="105"/>
      <c r="D94" s="106" t="s">
        <v>143</v>
      </c>
      <c r="E94" s="106"/>
      <c r="F94" s="106"/>
    </row>
    <row r="95" spans="1:6" ht="15.6" customHeight="1" x14ac:dyDescent="0.2">
      <c r="A95" s="109"/>
      <c r="B95" s="105"/>
      <c r="C95" s="105"/>
      <c r="D95" s="106"/>
      <c r="E95" s="106"/>
      <c r="F95" s="106"/>
    </row>
    <row r="96" spans="1:6" x14ac:dyDescent="0.2">
      <c r="A96" s="104">
        <v>2</v>
      </c>
      <c r="B96" s="6" t="s">
        <v>149</v>
      </c>
      <c r="C96" s="7" t="s">
        <v>45</v>
      </c>
      <c r="D96" s="5" t="s">
        <v>48</v>
      </c>
      <c r="E96" s="6" t="s">
        <v>14</v>
      </c>
      <c r="F96" s="14">
        <f>'Base para cálculo Gaveta'!E13</f>
        <v>317.1019</v>
      </c>
    </row>
    <row r="97" spans="1:6" x14ac:dyDescent="0.2">
      <c r="A97" s="104"/>
      <c r="B97" s="105" t="s">
        <v>15</v>
      </c>
      <c r="C97" s="105"/>
      <c r="D97" s="106" t="s">
        <v>57</v>
      </c>
      <c r="E97" s="106"/>
      <c r="F97" s="106"/>
    </row>
    <row r="98" spans="1:6" x14ac:dyDescent="0.2">
      <c r="A98" s="104"/>
      <c r="B98" s="105"/>
      <c r="C98" s="105"/>
      <c r="D98" s="106"/>
      <c r="E98" s="106"/>
      <c r="F98" s="106"/>
    </row>
    <row r="99" spans="1:6" x14ac:dyDescent="0.2">
      <c r="A99" s="104">
        <v>3</v>
      </c>
      <c r="B99" s="6" t="s">
        <v>149</v>
      </c>
      <c r="C99" s="7" t="s">
        <v>46</v>
      </c>
      <c r="D99" s="5" t="s">
        <v>49</v>
      </c>
      <c r="E99" s="6" t="s">
        <v>14</v>
      </c>
      <c r="F99" s="14">
        <f>'Base para cálculo Gaveta'!E13</f>
        <v>317.1019</v>
      </c>
    </row>
    <row r="100" spans="1:6" x14ac:dyDescent="0.2">
      <c r="A100" s="104"/>
      <c r="B100" s="105" t="s">
        <v>15</v>
      </c>
      <c r="C100" s="105"/>
      <c r="D100" s="106" t="s">
        <v>58</v>
      </c>
      <c r="E100" s="106"/>
      <c r="F100" s="106"/>
    </row>
    <row r="101" spans="1:6" x14ac:dyDescent="0.2">
      <c r="A101" s="104"/>
      <c r="B101" s="105"/>
      <c r="C101" s="105"/>
      <c r="D101" s="106"/>
      <c r="E101" s="106"/>
      <c r="F101" s="106"/>
    </row>
    <row r="102" spans="1:6" x14ac:dyDescent="0.2">
      <c r="A102" s="104">
        <v>4</v>
      </c>
      <c r="B102" s="6" t="s">
        <v>149</v>
      </c>
      <c r="C102" s="7" t="s">
        <v>47</v>
      </c>
      <c r="D102" s="5" t="s">
        <v>50</v>
      </c>
      <c r="E102" s="6" t="s">
        <v>14</v>
      </c>
      <c r="F102" s="14">
        <f>F13</f>
        <v>462.82</v>
      </c>
    </row>
    <row r="103" spans="1:6" x14ac:dyDescent="0.2">
      <c r="A103" s="104"/>
      <c r="B103" s="105" t="s">
        <v>15</v>
      </c>
      <c r="C103" s="105"/>
      <c r="D103" s="106" t="s">
        <v>51</v>
      </c>
      <c r="E103" s="106"/>
      <c r="F103" s="106"/>
    </row>
    <row r="104" spans="1:6" x14ac:dyDescent="0.2">
      <c r="A104" s="104"/>
      <c r="B104" s="105"/>
      <c r="C104" s="105"/>
      <c r="D104" s="106"/>
      <c r="E104" s="106"/>
      <c r="F104" s="106"/>
    </row>
    <row r="105" spans="1:6" ht="15" customHeight="1" x14ac:dyDescent="0.2">
      <c r="A105" s="97" t="s">
        <v>237</v>
      </c>
      <c r="B105" s="97"/>
      <c r="C105" s="97"/>
      <c r="D105" s="97"/>
      <c r="E105" s="97"/>
      <c r="F105" s="97"/>
    </row>
    <row r="106" spans="1:6" ht="15" customHeight="1" x14ac:dyDescent="0.2">
      <c r="A106" s="98"/>
      <c r="B106" s="98"/>
      <c r="C106" s="98"/>
      <c r="D106" s="98"/>
      <c r="E106" s="98"/>
      <c r="F106" s="98"/>
    </row>
    <row r="107" spans="1:6" ht="15" customHeight="1" x14ac:dyDescent="0.2">
      <c r="A107" s="98"/>
      <c r="B107" s="98"/>
      <c r="C107" s="98"/>
      <c r="D107" s="98"/>
      <c r="E107" s="98"/>
      <c r="F107" s="98"/>
    </row>
    <row r="108" spans="1:6" ht="15" customHeight="1" x14ac:dyDescent="0.2">
      <c r="A108" s="98"/>
      <c r="B108" s="98"/>
      <c r="C108" s="98"/>
      <c r="D108" s="98"/>
      <c r="E108" s="98"/>
      <c r="F108" s="98"/>
    </row>
    <row r="109" spans="1:6" ht="15" customHeight="1" x14ac:dyDescent="0.2">
      <c r="A109" s="98"/>
      <c r="B109" s="98"/>
      <c r="C109" s="98"/>
      <c r="D109" s="98"/>
      <c r="E109" s="98"/>
      <c r="F109" s="98"/>
    </row>
    <row r="110" spans="1:6" ht="15" customHeight="1" x14ac:dyDescent="0.2">
      <c r="A110" s="98"/>
      <c r="B110" s="98"/>
      <c r="C110" s="98"/>
      <c r="D110" s="98"/>
      <c r="E110" s="98"/>
      <c r="F110" s="98"/>
    </row>
    <row r="111" spans="1:6" ht="15" customHeight="1" x14ac:dyDescent="0.2">
      <c r="A111" s="98"/>
      <c r="B111" s="98"/>
      <c r="C111" s="98"/>
      <c r="D111" s="98"/>
      <c r="E111" s="98"/>
      <c r="F111" s="98"/>
    </row>
    <row r="112" spans="1:6" ht="15" customHeight="1" x14ac:dyDescent="0.2">
      <c r="A112" s="98"/>
      <c r="B112" s="98"/>
      <c r="C112" s="98"/>
      <c r="D112" s="98"/>
      <c r="E112" s="98"/>
      <c r="F112" s="98"/>
    </row>
    <row r="113" spans="1:6" x14ac:dyDescent="0.2">
      <c r="A113" s="98"/>
      <c r="B113" s="98"/>
      <c r="C113" s="98"/>
      <c r="D113" s="98"/>
      <c r="E113" s="98"/>
      <c r="F113" s="98"/>
    </row>
  </sheetData>
  <mergeCells count="102">
    <mergeCell ref="A1:C7"/>
    <mergeCell ref="A13:A15"/>
    <mergeCell ref="B14:C15"/>
    <mergeCell ref="D14:F15"/>
    <mergeCell ref="A9:F9"/>
    <mergeCell ref="A10:A12"/>
    <mergeCell ref="B11:C12"/>
    <mergeCell ref="D11:F12"/>
    <mergeCell ref="D1:F2"/>
    <mergeCell ref="D3:F4"/>
    <mergeCell ref="D5:F6"/>
    <mergeCell ref="D7:F7"/>
    <mergeCell ref="A17:A19"/>
    <mergeCell ref="B18:C19"/>
    <mergeCell ref="D18:F19"/>
    <mergeCell ref="A27:A29"/>
    <mergeCell ref="B28:C29"/>
    <mergeCell ref="D28:F29"/>
    <mergeCell ref="A16:F16"/>
    <mergeCell ref="B21:C22"/>
    <mergeCell ref="A20:A22"/>
    <mergeCell ref="D21:F22"/>
    <mergeCell ref="A23:A25"/>
    <mergeCell ref="B24:C25"/>
    <mergeCell ref="D24:F25"/>
    <mergeCell ref="A26:F26"/>
    <mergeCell ref="D31:F32"/>
    <mergeCell ref="A30:A32"/>
    <mergeCell ref="B31:C32"/>
    <mergeCell ref="B34:C35"/>
    <mergeCell ref="A33:A35"/>
    <mergeCell ref="D34:F35"/>
    <mergeCell ref="A36:A38"/>
    <mergeCell ref="B37:C38"/>
    <mergeCell ref="D37:F38"/>
    <mergeCell ref="A40:A42"/>
    <mergeCell ref="A39:F39"/>
    <mergeCell ref="A43:A45"/>
    <mergeCell ref="A46:A48"/>
    <mergeCell ref="B41:C42"/>
    <mergeCell ref="D41:F42"/>
    <mergeCell ref="B44:C45"/>
    <mergeCell ref="D44:F45"/>
    <mergeCell ref="B47:C48"/>
    <mergeCell ref="D47:F48"/>
    <mergeCell ref="A62:A64"/>
    <mergeCell ref="B63:C64"/>
    <mergeCell ref="D63:F64"/>
    <mergeCell ref="A65:A67"/>
    <mergeCell ref="B66:C67"/>
    <mergeCell ref="D66:F67"/>
    <mergeCell ref="A49:A51"/>
    <mergeCell ref="B50:C51"/>
    <mergeCell ref="D50:F51"/>
    <mergeCell ref="A58:F58"/>
    <mergeCell ref="A59:A61"/>
    <mergeCell ref="B60:C61"/>
    <mergeCell ref="D60:F61"/>
    <mergeCell ref="A52:A54"/>
    <mergeCell ref="B53:C54"/>
    <mergeCell ref="D53:F54"/>
    <mergeCell ref="A55:A57"/>
    <mergeCell ref="B56:C57"/>
    <mergeCell ref="D56:F57"/>
    <mergeCell ref="B84:C85"/>
    <mergeCell ref="B87:C88"/>
    <mergeCell ref="A74:A76"/>
    <mergeCell ref="B75:C76"/>
    <mergeCell ref="D75:F76"/>
    <mergeCell ref="A77:A79"/>
    <mergeCell ref="B78:C79"/>
    <mergeCell ref="D78:F79"/>
    <mergeCell ref="A68:A70"/>
    <mergeCell ref="B69:C70"/>
    <mergeCell ref="D69:F70"/>
    <mergeCell ref="A71:A73"/>
    <mergeCell ref="B72:C73"/>
    <mergeCell ref="D72:F73"/>
    <mergeCell ref="A105:F113"/>
    <mergeCell ref="B90:C91"/>
    <mergeCell ref="A92:F92"/>
    <mergeCell ref="A80:A82"/>
    <mergeCell ref="A96:A98"/>
    <mergeCell ref="A99:A101"/>
    <mergeCell ref="A102:A104"/>
    <mergeCell ref="B81:C82"/>
    <mergeCell ref="B97:C98"/>
    <mergeCell ref="B100:C101"/>
    <mergeCell ref="B103:C104"/>
    <mergeCell ref="D81:F82"/>
    <mergeCell ref="D97:F98"/>
    <mergeCell ref="D100:F101"/>
    <mergeCell ref="D103:F104"/>
    <mergeCell ref="A93:A95"/>
    <mergeCell ref="B94:C95"/>
    <mergeCell ref="D94:F95"/>
    <mergeCell ref="D84:F85"/>
    <mergeCell ref="D87:F88"/>
    <mergeCell ref="D90:F91"/>
    <mergeCell ref="A83:A85"/>
    <mergeCell ref="A86:A88"/>
    <mergeCell ref="A89:A91"/>
  </mergeCells>
  <pageMargins left="0.511811024" right="0.511811024" top="0.78740157499999996" bottom="0.78740157499999996" header="0.31496062000000002" footer="0.31496062000000002"/>
  <pageSetup paperSize="9" scale="58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3"/>
  <dimension ref="A1:C16"/>
  <sheetViews>
    <sheetView zoomScale="90" zoomScaleNormal="90" workbookViewId="0">
      <selection activeCell="C12" sqref="C12"/>
    </sheetView>
  </sheetViews>
  <sheetFormatPr defaultColWidth="8.85546875" defaultRowHeight="14.25" x14ac:dyDescent="0.2"/>
  <cols>
    <col min="1" max="1" width="84.7109375" style="42" bestFit="1" customWidth="1"/>
    <col min="2" max="2" width="11.7109375" style="42" bestFit="1" customWidth="1"/>
    <col min="3" max="3" width="11.42578125" style="42" bestFit="1" customWidth="1"/>
    <col min="4" max="16384" width="8.85546875" style="42"/>
  </cols>
  <sheetData>
    <row r="1" spans="1:3" ht="15" x14ac:dyDescent="0.2">
      <c r="A1" s="140" t="s">
        <v>124</v>
      </c>
      <c r="B1" s="140"/>
      <c r="C1" s="140"/>
    </row>
    <row r="2" spans="1:3" ht="15" x14ac:dyDescent="0.2">
      <c r="A2" s="45" t="s">
        <v>103</v>
      </c>
      <c r="B2" s="45" t="s">
        <v>104</v>
      </c>
      <c r="C2" s="45" t="s">
        <v>105</v>
      </c>
    </row>
    <row r="3" spans="1:3" x14ac:dyDescent="0.2">
      <c r="A3" s="48" t="s">
        <v>114</v>
      </c>
      <c r="B3" s="43" t="s">
        <v>115</v>
      </c>
      <c r="C3" s="44">
        <v>3.5299999999999998E-2</v>
      </c>
    </row>
    <row r="4" spans="1:3" x14ac:dyDescent="0.2">
      <c r="A4" s="48" t="s">
        <v>106</v>
      </c>
      <c r="B4" s="43" t="s">
        <v>116</v>
      </c>
      <c r="C4" s="44">
        <v>6.1999999999999998E-3</v>
      </c>
    </row>
    <row r="5" spans="1:3" x14ac:dyDescent="0.2">
      <c r="A5" s="48" t="s">
        <v>107</v>
      </c>
      <c r="B5" s="43" t="s">
        <v>117</v>
      </c>
      <c r="C5" s="44">
        <v>1.04E-2</v>
      </c>
    </row>
    <row r="6" spans="1:3" x14ac:dyDescent="0.2">
      <c r="A6" s="48" t="s">
        <v>108</v>
      </c>
      <c r="B6" s="43" t="s">
        <v>118</v>
      </c>
      <c r="C6" s="44">
        <v>1.0500000000000001E-2</v>
      </c>
    </row>
    <row r="7" spans="1:3" x14ac:dyDescent="0.2">
      <c r="A7" s="48" t="s">
        <v>109</v>
      </c>
      <c r="B7" s="43" t="s">
        <v>119</v>
      </c>
      <c r="C7" s="44">
        <v>6.9099999999999995E-2</v>
      </c>
    </row>
    <row r="8" spans="1:3" x14ac:dyDescent="0.2">
      <c r="A8" s="48" t="s">
        <v>110</v>
      </c>
      <c r="B8" s="43" t="s">
        <v>120</v>
      </c>
      <c r="C8" s="44">
        <v>3.6499999999999998E-2</v>
      </c>
    </row>
    <row r="9" spans="1:3" x14ac:dyDescent="0.2">
      <c r="A9" s="48" t="s">
        <v>111</v>
      </c>
      <c r="B9" s="43" t="s">
        <v>121</v>
      </c>
      <c r="C9" s="44">
        <v>2.5000000000000001E-2</v>
      </c>
    </row>
    <row r="10" spans="1:3" x14ac:dyDescent="0.2">
      <c r="A10" s="48" t="s">
        <v>112</v>
      </c>
      <c r="B10" s="43" t="s">
        <v>122</v>
      </c>
      <c r="C10" s="44">
        <v>4.4999999999999998E-2</v>
      </c>
    </row>
    <row r="11" spans="1:3" ht="15" x14ac:dyDescent="0.2">
      <c r="A11" s="49" t="s">
        <v>144</v>
      </c>
      <c r="B11" s="46" t="s">
        <v>146</v>
      </c>
      <c r="C11" s="47">
        <f>(((1+$C$3+$C$4+$C$5)*(1+$C$6)*(1+$C$7))/(1-$C$8-$C$9))-1</f>
        <v>0.21086248912626493</v>
      </c>
    </row>
    <row r="12" spans="1:3" ht="15" x14ac:dyDescent="0.2">
      <c r="A12" s="49" t="s">
        <v>113</v>
      </c>
      <c r="B12" s="46" t="s">
        <v>145</v>
      </c>
      <c r="C12" s="47">
        <f>(((1+$C$3+$C$4+$C$5)*(1+$C$6)*(1+$C$7))/(1-$C$8-$C$9-$C$10))-1</f>
        <v>0.27184605041410159</v>
      </c>
    </row>
    <row r="13" spans="1:3" x14ac:dyDescent="0.2">
      <c r="A13" s="141" t="s">
        <v>123</v>
      </c>
      <c r="B13" s="142"/>
      <c r="C13" s="143"/>
    </row>
    <row r="14" spans="1:3" x14ac:dyDescent="0.2">
      <c r="A14" s="144"/>
      <c r="B14" s="145"/>
      <c r="C14" s="146"/>
    </row>
    <row r="15" spans="1:3" x14ac:dyDescent="0.2">
      <c r="A15" s="144" t="s">
        <v>136</v>
      </c>
      <c r="B15" s="145"/>
      <c r="C15" s="146"/>
    </row>
    <row r="16" spans="1:3" x14ac:dyDescent="0.2">
      <c r="A16" s="147"/>
      <c r="B16" s="148"/>
      <c r="C16" s="149"/>
    </row>
  </sheetData>
  <mergeCells count="3">
    <mergeCell ref="A1:C1"/>
    <mergeCell ref="A13:C14"/>
    <mergeCell ref="A15:C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Massa Nominal Aço</vt:lpstr>
      <vt:lpstr>Base para cálculo Estaca</vt:lpstr>
      <vt:lpstr>Base para cálculo Baldrame</vt:lpstr>
      <vt:lpstr>Base para cálculo Lajes</vt:lpstr>
      <vt:lpstr>Base para cálculo Gaveta</vt:lpstr>
      <vt:lpstr>Base para cálculo Hidraúlica</vt:lpstr>
      <vt:lpstr>Base - Cx Necro</vt:lpstr>
      <vt:lpstr>Memória de Cálculo</vt:lpstr>
      <vt:lpstr>BDI</vt:lpstr>
      <vt:lpstr>Tabela com Desoneração</vt:lpstr>
      <vt:lpstr>Tabela sem Desoneração</vt:lpstr>
      <vt:lpstr>Cronograma Físico-Financeiro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Felipe Portugal Furtuna</dc:creator>
  <cp:lastModifiedBy>user</cp:lastModifiedBy>
  <cp:lastPrinted>2023-11-16T10:23:51Z</cp:lastPrinted>
  <dcterms:created xsi:type="dcterms:W3CDTF">2022-06-16T08:25:19Z</dcterms:created>
  <dcterms:modified xsi:type="dcterms:W3CDTF">2023-11-16T10:35:45Z</dcterms:modified>
</cp:coreProperties>
</file>